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290" activeTab="3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4" sheetId="5" r:id="rId5"/>
    <sheet name="стр5" sheetId="6" r:id="rId6"/>
  </sheets>
  <definedNames>
    <definedName name="_xlnm.Print_Area" localSheetId="1">'стр1'!$A$1:$C$31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 следующем ПФХД добовить 17000-00</t>
        </r>
      </text>
    </comment>
  </commentList>
</comments>
</file>

<file path=xl/sharedStrings.xml><?xml version="1.0" encoding="utf-8"?>
<sst xmlns="http://schemas.openxmlformats.org/spreadsheetml/2006/main" count="939" uniqueCount="250">
  <si>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</si>
  <si>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</si>
  <si>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</si>
  <si>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</si>
  <si>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</si>
  <si>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</si>
  <si>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</si>
  <si>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</si>
  <si>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</si>
  <si>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</si>
  <si>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</si>
  <si>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</si>
  <si>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</si>
  <si>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</si>
  <si>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</si>
  <si>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</si>
  <si>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</si>
  <si>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</si>
  <si>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плату:__________________________________________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</si>
  <si>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</si>
  <si>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</si>
  <si>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</si>
  <si>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</si>
  <si>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</si>
  <si>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</si>
  <si>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</si>
  <si>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</si>
  <si>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</si>
  <si>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</si>
  <si>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</si>
  <si>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</si>
  <si>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</si>
  <si>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</si>
  <si>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</si>
  <si>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</si>
  <si>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</si>
  <si>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</si>
  <si>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</si>
  <si>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</si>
  <si>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</si>
  <si>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</si>
  <si>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</si>
  <si>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</si>
  <si>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</si>
  <si>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</si>
  <si>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</si>
  <si>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</si>
  <si>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</si>
  <si>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</si>
  <si>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</si>
  <si>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</si>
  <si>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</si>
  <si>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</si>
  <si>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</si>
  <si>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</si>
  <si>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</si>
  <si>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</si>
  <si>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</si>
  <si>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</si>
  <si>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</si>
  <si>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</si>
  <si>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</si>
  <si>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</si>
  <si>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</si>
  <si>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</si>
  <si>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</si>
  <si>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</si>
  <si>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</si>
  <si>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</si>
  <si>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</si>
  <si>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</si>
  <si>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</si>
  <si>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</si>
  <si>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</si>
  <si>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</si>
  <si>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</si>
  <si>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</si>
  <si>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</si>
  <si>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</si>
  <si>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</si>
  <si>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</si>
  <si>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</si>
  <si>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</si>
  <si>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</si>
  <si>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</si>
  <si>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</si>
  <si>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</si>
  <si>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</si>
  <si>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</si>
  <si>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</si>
  <si>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</si>
  <si>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</si>
  <si>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</si>
  <si>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</si>
  <si>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</si>
  <si>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</si>
  <si>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</si>
  <si>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</si>
  <si>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</si>
  <si>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</si>
  <si>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</si>
  <si>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</si>
  <si>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</si>
  <si>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</si>
  <si>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</si>
  <si>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</si>
  <si>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</si>
  <si>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</si>
  <si>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</si>
  <si>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</si>
  <si>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</si>
  <si>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</si>
  <si>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</si>
  <si>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</si>
  <si>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</si>
  <si>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</si>
  <si>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</si>
  <si>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</si>
  <si>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</si>
  <si>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</si>
  <si>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</si>
  <si>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</si>
  <si>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</si>
  <si>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</si>
  <si>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</si>
  <si>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</si>
  <si>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</si>
  <si>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</si>
  <si>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</si>
  <si>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</si>
  <si>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</si>
  <si>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</si>
  <si>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</si>
  <si>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</si>
  <si>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</si>
  <si>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</si>
  <si>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</si>
  <si>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</si>
  <si>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</si>
  <si>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</si>
  <si>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</si>
  <si>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</si>
  <si>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</si>
  <si>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</si>
  <si>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</si>
  <si>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</si>
  <si>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</si>
  <si>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</si>
  <si>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</si>
  <si>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</si>
  <si>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</si>
  <si>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</si>
  <si>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</si>
  <si>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</si>
  <si>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</si>
  <si>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</si>
  <si>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</si>
  <si>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</si>
  <si>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</si>
  <si>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</si>
  <si>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</si>
  <si>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</si>
  <si>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</si>
  <si>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</si>
  <si>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</si>
  <si>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</si>
  <si>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</si>
  <si>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</si>
  <si>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</si>
  <si>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</si>
  <si>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</si>
  <si>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</si>
  <si>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</si>
  <si>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</si>
  <si>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</si>
  <si>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</si>
  <si>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</si>
  <si>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______________</t>
  </si>
  <si>
    <t>Исполнитель</t>
  </si>
  <si>
    <t xml:space="preserve">    1.1. Цели деятельности организации: </t>
  </si>
  <si>
    <t>Учреждение создано в целях реализации гражданами Российской Федерации гарантированного государством права на получение общедоступного и бесплатного общего образования, если образование данного уровня гражданин получает впервые.</t>
  </si>
  <si>
    <t xml:space="preserve">    1.2.   Основные   виды   деятельности   муниципальной организации: </t>
  </si>
  <si>
    <t xml:space="preserve">основные общеобразовательные программы начального общего образования;
– реализация основных образовательных программ начального общего образования;
– реализация основных образовательных программ основного общего образования;
– реализация основных образовательных программ среднего общего образования;
– реализация основных образовательных программ начального общего образования с углубленным изучением отдельных предметов;
– реализация основных образовательных программ основного общего образования с углубленным изучением отдельных предметов;
– реализация основных образовательных программ среднего общего образования   с углубленным изучением отдельных предметов;
– реализация дополнительных общеразвивающих программ следующих направленностей: технической, естественнонаучной, физкультурно-спортивной, художественной, туристско-краеведческой, социально-педагогической. 
</t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</si>
  <si>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34 989 877,43руб., в т.ч. ОЦИ 29 502 497,84руб.</t>
  </si>
  <si>
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                                                              КФО-4 153 952 526,26руб.</t>
  </si>
  <si>
    <t>164502 Архангельская область город Северодвинск ул. Лебедева 10а</t>
  </si>
  <si>
    <t>С.Н. Зуева</t>
  </si>
  <si>
    <t>Г.В. Бабарыкина</t>
  </si>
  <si>
    <t>50-89-51</t>
  </si>
  <si>
    <t>V. Сведения о вносимых изменениях N 1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</si>
  <si>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</si>
  <si>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</si>
  <si>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</si>
  <si>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</si>
  <si>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Прочие работы, услуги</t>
  </si>
  <si>
    <t>Пособия по социальной помощи населению</t>
  </si>
  <si>
    <t>Увеличение стоимости основных средств</t>
  </si>
  <si>
    <t>по виду поступлений Целевые субсидии (субсидии на иные цели)</t>
  </si>
  <si>
    <t>Работы, услуги по содержанию имущества (всего)</t>
  </si>
  <si>
    <t>по виду поступлений   от оказания услуг (выполнения работ) на платной основе и от иной приносящей доход деятельности)</t>
  </si>
  <si>
    <t>Увеличение стоимости материальных запасов</t>
  </si>
  <si>
    <t>субсидии на финансовое обеспечение выполнения муниципального задания</t>
  </si>
  <si>
    <t>Транспортные услуги</t>
  </si>
  <si>
    <t>по виду поступлений субсидии на финансовое обеспечение выполнения муниципального задания</t>
  </si>
  <si>
    <t>Директор</t>
  </si>
  <si>
    <t xml:space="preserve">                                   МП ______________С.Н.Зуева</t>
  </si>
  <si>
    <t>по виду поступлений поступления от оказания услуг (выполнения работ) на платной основе и от иной приносящей доход деятельности)</t>
  </si>
  <si>
    <t xml:space="preserve">Приобретение товаров, работ, услуг в пользу граждан в целях их социального обеспечения
</t>
  </si>
  <si>
    <t>Прочие расходы</t>
  </si>
  <si>
    <t>Приобретение товаров, работ, услуг в пользу граждан в целях их социального обеспечения</t>
  </si>
  <si>
    <t>Коммунальные услуги</t>
  </si>
  <si>
    <t>Доплата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</si>
  <si>
    <t>2020 год</t>
  </si>
  <si>
    <t>Субсидия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</si>
  <si>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Субсидия на организацию отдыха, оздоровления и занятости детей в каникулярный период</t>
  </si>
  <si>
    <t>Субсидия на мероприятия по проведению оздоровительной кампании детей</t>
  </si>
  <si>
    <t>субсидия на софинансирование дополнительных расходов на повышение минимального размера оплаты труда в 2018 году</t>
  </si>
  <si>
    <t>Субсидия на предоставление общего образования</t>
  </si>
  <si>
    <t>Субсидия на повышение уровня безопасности объектов и систем жизнеобеспечения муниципальных образовательных организаций</t>
  </si>
  <si>
    <t>Субсидия на повышение уровня благоустройства территорий муниципальных образовательных организаций</t>
  </si>
  <si>
    <t>Субсидия на обеспечение соблюдения санитарно-гигиенических норм и требований охраны труда при организации обучения и воспитания</t>
  </si>
  <si>
    <t>в доход бюджета</t>
  </si>
  <si>
    <t>293(140)</t>
  </si>
  <si>
    <t>Субсидия на улучшение технического состояния зданий и сооружений муниципальной системы образования</t>
  </si>
  <si>
    <t>2021 год</t>
  </si>
  <si>
    <t>на плановый период 2020   и 2021 г.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</si>
  <si>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</si>
  <si>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</si>
  <si>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</si>
  <si>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на 2019 г. и плановый период 2020 и 2021 годов</t>
  </si>
  <si>
    <t>94 153 814,53</t>
  </si>
  <si>
    <t>стр.200</t>
  </si>
  <si>
    <t>стр.250</t>
  </si>
  <si>
    <t>на 01 января 2019 г.</t>
  </si>
  <si>
    <t>субсидия на реализацию образовательных программ</t>
  </si>
  <si>
    <t>Социальные пособия и компенсации персоналу в денежной форме</t>
  </si>
  <si>
    <t>изменение кассовых выплат</t>
  </si>
  <si>
    <t>Субсидия на капитальный ремонт общеобразовательных организаций</t>
  </si>
  <si>
    <t>Резервный фонд Правительства Архангельской области</t>
  </si>
  <si>
    <t>утвержденный объем ФО № 4773; 4621 от  01.07.2019</t>
  </si>
  <si>
    <t>муниципальное автономное общеобразовательное учреждение «Средняя общеобразовательная школа № 13»</t>
  </si>
  <si>
    <t>утвержденный объем ФО № 5183 от  29.08.2019</t>
  </si>
  <si>
    <t>утвержденный объем ФО № 5174 от  11.09.2019</t>
  </si>
  <si>
    <t>утвержденный объем ФО № 5887 от  02.12.2019; № 6098 от 04.12.2019</t>
  </si>
  <si>
    <t>утвержденный объем ФО № 5617 от  26.11.2019</t>
  </si>
  <si>
    <t>утвержденный объем ФО № 5692 от  26.11.2019</t>
  </si>
  <si>
    <t>Субсидия на строительство и капитальный ремонт объектов инфраструктуры системы образования Северодвинска</t>
  </si>
  <si>
    <t>утвержденный объем ФО № 5849 от  02.12.2019</t>
  </si>
  <si>
    <t>утвержденный объем ФО № 5617 от  26.11.2019; № 6265 от 09.12.2019</t>
  </si>
  <si>
    <t>утвержденный объем ФО № 6290 от  10.12.2019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</si>
</sst>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[$-FC19]dd\ mmmm\ yyyy\ &quot;г.&quot;"/>
    <numFmt numFmtId="179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43" fontId="1" fillId="0" borderId="10" xfId="60" applyFont="1" applyBorder="1" applyAlignment="1">
      <alignment vertical="top" wrapText="1"/>
    </xf>
    <xf numFmtId="43" fontId="1" fillId="0" borderId="10" xfId="60" applyFont="1" applyBorder="1" applyAlignment="1">
      <alignment horizontal="center" wrapText="1"/>
    </xf>
    <xf numFmtId="43" fontId="1" fillId="0" borderId="10" xfId="6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34" borderId="10" xfId="6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43" fontId="1" fillId="34" borderId="10" xfId="60" applyFont="1" applyFill="1" applyBorder="1" applyAlignment="1">
      <alignment horizontal="center"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33" borderId="10" xfId="60" applyFont="1" applyFill="1" applyBorder="1" applyAlignment="1">
      <alignment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0" borderId="11" xfId="60" applyFont="1" applyBorder="1" applyAlignment="1">
      <alignment vertical="top" wrapText="1"/>
    </xf>
    <xf numFmtId="43" fontId="1" fillId="34" borderId="10" xfId="60" applyFont="1" applyFill="1" applyBorder="1" applyAlignment="1">
      <alignment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34" borderId="10" xfId="60" applyFont="1" applyFill="1" applyBorder="1" applyAlignment="1">
      <alignment horizontal="center" vertical="top" wrapText="1"/>
    </xf>
    <xf numFmtId="43" fontId="1" fillId="33" borderId="11" xfId="60" applyFont="1" applyFill="1" applyBorder="1" applyAlignment="1">
      <alignment vertical="top" wrapText="1"/>
    </xf>
    <xf numFmtId="43" fontId="1" fillId="34" borderId="10" xfId="60" applyFont="1" applyFill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0" borderId="12" xfId="60" applyFont="1" applyBorder="1" applyAlignment="1">
      <alignment vertical="top" wrapText="1"/>
    </xf>
    <xf numFmtId="43" fontId="1" fillId="0" borderId="10" xfId="60" applyFont="1" applyFill="1" applyBorder="1" applyAlignment="1">
      <alignment vertical="top" wrapText="1"/>
    </xf>
    <xf numFmtId="43" fontId="1" fillId="33" borderId="10" xfId="60" applyFont="1" applyFill="1" applyBorder="1" applyAlignment="1">
      <alignment horizontal="center" vertical="top" wrapText="1"/>
    </xf>
    <xf numFmtId="43" fontId="1" fillId="34" borderId="10" xfId="60" applyFont="1" applyFill="1" applyBorder="1" applyAlignment="1">
      <alignment wrapText="1"/>
    </xf>
    <xf numFmtId="43" fontId="1" fillId="34" borderId="10" xfId="60" applyFont="1" applyFill="1" applyBorder="1" applyAlignment="1">
      <alignment vertical="center" wrapText="1"/>
    </xf>
    <xf numFmtId="43" fontId="1" fillId="34" borderId="10" xfId="60" applyFont="1" applyFill="1" applyBorder="1" applyAlignment="1">
      <alignment horizontal="center" vertical="top" wrapText="1"/>
    </xf>
    <xf numFmtId="43" fontId="1" fillId="33" borderId="10" xfId="6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wrapText="1"/>
    </xf>
    <xf numFmtId="43" fontId="1" fillId="33" borderId="10" xfId="60" applyFont="1" applyFill="1" applyBorder="1" applyAlignment="1">
      <alignment horizontal="center" vertical="top" wrapText="1"/>
    </xf>
    <xf numFmtId="43" fontId="1" fillId="34" borderId="10" xfId="60" applyFont="1" applyFill="1" applyBorder="1" applyAlignment="1">
      <alignment horizontal="center" vertical="top" wrapText="1"/>
    </xf>
    <xf numFmtId="43" fontId="1" fillId="0" borderId="10" xfId="0" applyNumberFormat="1" applyFont="1" applyBorder="1" applyAlignment="1">
      <alignment vertical="top" wrapText="1"/>
    </xf>
    <xf numFmtId="43" fontId="1" fillId="0" borderId="10" xfId="60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3" fontId="1" fillId="0" borderId="10" xfId="60" applyFont="1" applyBorder="1" applyAlignment="1">
      <alignment vertical="top" wrapText="1"/>
    </xf>
    <xf numFmtId="43" fontId="1" fillId="0" borderId="11" xfId="60" applyFont="1" applyBorder="1" applyAlignment="1">
      <alignment wrapText="1"/>
    </xf>
    <xf numFmtId="43" fontId="1" fillId="0" borderId="12" xfId="60" applyFont="1" applyBorder="1" applyAlignment="1">
      <alignment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43" fontId="1" fillId="0" borderId="10" xfId="60" applyFont="1" applyBorder="1" applyAlignment="1">
      <alignment horizontal="center" vertical="top" wrapText="1"/>
    </xf>
    <xf numFmtId="43" fontId="1" fillId="0" borderId="11" xfId="60" applyFont="1" applyBorder="1" applyAlignment="1">
      <alignment horizontal="center" vertical="center" wrapText="1"/>
    </xf>
    <xf numFmtId="43" fontId="1" fillId="0" borderId="12" xfId="60" applyFont="1" applyBorder="1" applyAlignment="1">
      <alignment horizontal="center" vertical="center" wrapText="1"/>
    </xf>
    <xf numFmtId="43" fontId="1" fillId="34" borderId="10" xfId="60" applyFont="1" applyFill="1" applyBorder="1" applyAlignment="1">
      <alignment horizontal="center" vertical="top" wrapText="1"/>
    </xf>
    <xf numFmtId="43" fontId="1" fillId="0" borderId="10" xfId="60" applyFont="1" applyBorder="1" applyAlignment="1">
      <alignment horizontal="center" wrapText="1"/>
    </xf>
    <xf numFmtId="43" fontId="1" fillId="33" borderId="10" xfId="60" applyFont="1" applyFill="1" applyBorder="1" applyAlignment="1">
      <alignment horizontal="center" vertical="top" wrapText="1"/>
    </xf>
    <xf numFmtId="43" fontId="1" fillId="0" borderId="11" xfId="60" applyFont="1" applyBorder="1" applyAlignment="1">
      <alignment horizontal="center" vertical="top" wrapText="1"/>
    </xf>
    <xf numFmtId="43" fontId="1" fillId="0" borderId="12" xfId="6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3" fontId="1" fillId="34" borderId="10" xfId="6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8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43" fontId="1" fillId="0" borderId="11" xfId="60" applyFont="1" applyBorder="1" applyAlignment="1">
      <alignment horizontal="center" wrapText="1"/>
    </xf>
    <xf numFmtId="43" fontId="1" fillId="0" borderId="12" xfId="60" applyFont="1" applyBorder="1" applyAlignment="1">
      <alignment horizontal="center" wrapText="1"/>
    </xf>
    <xf numFmtId="177" fontId="4" fillId="0" borderId="0" xfId="0" applyNumberFormat="1" applyFont="1" applyAlignment="1">
      <alignment horizontal="center"/>
    </xf>
    <xf numFmtId="43" fontId="1" fillId="33" borderId="11" xfId="60" applyFont="1" applyFill="1" applyBorder="1" applyAlignment="1">
      <alignment horizontal="center" vertical="center" wrapText="1"/>
    </xf>
    <xf numFmtId="43" fontId="1" fillId="33" borderId="12" xfId="6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3" fontId="1" fillId="0" borderId="14" xfId="60" applyFont="1" applyBorder="1" applyAlignment="1">
      <alignment horizontal="center" vertical="top" wrapText="1"/>
    </xf>
    <xf numFmtId="43" fontId="1" fillId="0" borderId="15" xfId="60" applyFont="1" applyBorder="1" applyAlignment="1">
      <alignment horizontal="center" vertical="top" wrapText="1"/>
    </xf>
    <xf numFmtId="43" fontId="1" fillId="0" borderId="16" xfId="60" applyFont="1" applyBorder="1" applyAlignment="1">
      <alignment horizontal="center" vertical="top" wrapText="1"/>
    </xf>
    <xf numFmtId="43" fontId="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4" xfId="42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78.25390625" style="0" bestFit="1" customWidth="1"/>
    <col min="2" max="2" width="39.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66" t="s">
        <v>0</v>
      </c>
      <c r="B3" s="66"/>
      <c r="C3" s="66"/>
    </row>
    <row r="4" spans="1:3" ht="12.75">
      <c r="A4" s="66" t="s">
        <v>204</v>
      </c>
      <c r="B4" s="66"/>
      <c r="C4" s="66"/>
    </row>
    <row r="5" spans="1:3" ht="12.75">
      <c r="A5" s="66" t="s">
        <v>1</v>
      </c>
      <c r="B5" s="66"/>
      <c r="C5" s="66"/>
    </row>
    <row r="6" spans="1:3" ht="12.75">
      <c r="A6" s="66" t="s">
        <v>205</v>
      </c>
      <c r="B6" s="66"/>
      <c r="C6" s="66"/>
    </row>
    <row r="7" spans="1:3" ht="12.75">
      <c r="A7" s="66" t="s">
        <v>2</v>
      </c>
      <c r="B7" s="66"/>
      <c r="C7" s="66"/>
    </row>
    <row r="8" spans="1:3" ht="12.75">
      <c r="A8" s="67">
        <f>C23</f>
        <v>43830</v>
      </c>
      <c r="B8" s="67"/>
      <c r="C8" s="67"/>
    </row>
    <row r="9" ht="12.75">
      <c r="A9" s="3"/>
    </row>
    <row r="10" ht="12.75">
      <c r="A10" s="1"/>
    </row>
    <row r="11" ht="12.75">
      <c r="A11" s="3"/>
    </row>
    <row r="12" spans="1:3" ht="15.75">
      <c r="A12" s="69" t="s">
        <v>3</v>
      </c>
      <c r="B12" s="69"/>
      <c r="C12" s="69"/>
    </row>
    <row r="13" spans="1:3" ht="15.75">
      <c r="A13" s="69" t="s">
        <v>229</v>
      </c>
      <c r="B13" s="69"/>
      <c r="C13" s="69"/>
    </row>
    <row r="14" spans="1:3" ht="12.75">
      <c r="A14" s="70" t="s">
        <v>4</v>
      </c>
      <c r="B14" s="70"/>
      <c r="C14" s="70"/>
    </row>
    <row r="15" spans="1:3" ht="12.75">
      <c r="A15" s="70" t="s">
        <v>5</v>
      </c>
      <c r="B15" s="70"/>
      <c r="C15" s="70"/>
    </row>
    <row r="16" spans="1:3" ht="12.75">
      <c r="A16" s="70" t="s">
        <v>6</v>
      </c>
      <c r="B16" s="70"/>
      <c r="C16" s="70"/>
    </row>
    <row r="17" spans="1:3" ht="12.75">
      <c r="A17" s="70" t="s">
        <v>7</v>
      </c>
      <c r="B17" s="70"/>
      <c r="C17" s="70"/>
    </row>
    <row r="18" ht="12.75">
      <c r="A18" s="3"/>
    </row>
    <row r="19" spans="1:3" ht="12.75">
      <c r="A19" s="71" t="s">
        <v>240</v>
      </c>
      <c r="B19" s="71"/>
      <c r="C19" s="71"/>
    </row>
    <row r="20" spans="1:3" ht="12.75">
      <c r="A20" s="70" t="s">
        <v>8</v>
      </c>
      <c r="B20" s="70"/>
      <c r="C20" s="70"/>
    </row>
    <row r="21" ht="12.75">
      <c r="A21" s="3"/>
    </row>
    <row r="22" spans="1:3" ht="15.75">
      <c r="A22" s="68" t="s">
        <v>185</v>
      </c>
      <c r="B22" s="9"/>
      <c r="C22" s="12" t="s">
        <v>9</v>
      </c>
    </row>
    <row r="23" spans="1:3" ht="15.75">
      <c r="A23" s="68"/>
      <c r="B23" s="10" t="s">
        <v>10</v>
      </c>
      <c r="C23" s="47">
        <v>43830</v>
      </c>
    </row>
    <row r="24" spans="1:3" ht="15.75">
      <c r="A24" s="68"/>
      <c r="B24" s="10" t="s">
        <v>11</v>
      </c>
      <c r="C24" s="47">
        <v>43766</v>
      </c>
    </row>
    <row r="25" spans="1:3" ht="15.75">
      <c r="A25" s="68"/>
      <c r="B25" s="10" t="s">
        <v>12</v>
      </c>
      <c r="C25" s="13">
        <v>51773933</v>
      </c>
    </row>
    <row r="26" spans="1:3" ht="15.75">
      <c r="A26" s="68"/>
      <c r="B26" s="10"/>
      <c r="C26" s="12"/>
    </row>
    <row r="27" spans="1:3" ht="15.75">
      <c r="A27" s="68"/>
      <c r="B27" s="10" t="s">
        <v>13</v>
      </c>
      <c r="C27" s="13">
        <v>2902040598</v>
      </c>
    </row>
    <row r="28" spans="1:3" ht="15.75">
      <c r="A28" s="68"/>
      <c r="B28" s="10" t="s">
        <v>14</v>
      </c>
      <c r="C28" s="13">
        <v>290201001</v>
      </c>
    </row>
    <row r="29" spans="1:3" ht="15.75">
      <c r="A29" s="68"/>
      <c r="B29" s="11" t="s">
        <v>15</v>
      </c>
      <c r="C29" s="27">
        <v>383</v>
      </c>
    </row>
    <row r="30" spans="1:3" ht="63">
      <c r="A30" s="68"/>
      <c r="B30" s="10" t="s">
        <v>16</v>
      </c>
      <c r="C30" s="13"/>
    </row>
    <row r="31" spans="1:3" ht="15.75">
      <c r="A31" s="63" t="s">
        <v>17</v>
      </c>
      <c r="B31" s="63"/>
      <c r="C31" s="63"/>
    </row>
    <row r="32" spans="1:3" ht="12.75">
      <c r="A32" s="14"/>
      <c r="B32" s="15"/>
      <c r="C32" s="15"/>
    </row>
    <row r="33" spans="1:3" ht="15.75">
      <c r="A33" s="62" t="s">
        <v>179</v>
      </c>
      <c r="B33" s="62"/>
      <c r="C33" s="62"/>
    </row>
    <row r="34" spans="1:3" ht="33.75" customHeight="1">
      <c r="A34" s="62" t="s">
        <v>180</v>
      </c>
      <c r="B34" s="62"/>
      <c r="C34" s="62"/>
    </row>
    <row r="35" spans="1:3" ht="15.75">
      <c r="A35" s="62" t="s">
        <v>181</v>
      </c>
      <c r="B35" s="62"/>
      <c r="C35" s="62"/>
    </row>
    <row r="36" spans="1:10" ht="139.5" customHeight="1">
      <c r="A36" s="65" t="s">
        <v>182</v>
      </c>
      <c r="B36" s="65"/>
      <c r="C36" s="65"/>
      <c r="D36" s="26"/>
      <c r="E36" s="26"/>
      <c r="F36" s="26"/>
      <c r="G36" s="26"/>
      <c r="H36" s="26"/>
      <c r="I36" s="26"/>
      <c r="J36" s="26"/>
    </row>
    <row r="37" spans="1:3" ht="64.5" customHeight="1">
      <c r="A37" s="62" t="s">
        <v>18</v>
      </c>
      <c r="B37" s="62"/>
      <c r="C37" s="62"/>
    </row>
    <row r="38" spans="1:3" ht="78" customHeight="1">
      <c r="A38" s="64" t="s">
        <v>184</v>
      </c>
      <c r="B38" s="64"/>
      <c r="C38" s="64"/>
    </row>
    <row r="39" spans="1:3" ht="57.75" customHeight="1">
      <c r="A39" s="62" t="s">
        <v>183</v>
      </c>
      <c r="B39" s="62"/>
      <c r="C39" s="62"/>
    </row>
    <row r="40" ht="15.75">
      <c r="A40" s="6"/>
    </row>
  </sheetData>
  <sheetProtection/>
  <mergeCells count="23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9:C39"/>
    <mergeCell ref="A35:C35"/>
    <mergeCell ref="A31:C31"/>
    <mergeCell ref="A33:C33"/>
    <mergeCell ref="A37:C37"/>
    <mergeCell ref="A38:C38"/>
    <mergeCell ref="A34:C34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6.375" style="0" customWidth="1"/>
    <col min="2" max="2" width="67.125" style="0" customWidth="1"/>
    <col min="3" max="3" width="23.875" style="0" customWidth="1"/>
  </cols>
  <sheetData>
    <row r="1" spans="1:3" ht="15.75">
      <c r="A1" s="69" t="s">
        <v>19</v>
      </c>
      <c r="B1" s="69"/>
      <c r="C1" s="69"/>
    </row>
    <row r="2" spans="1:3" ht="15.75">
      <c r="A2" s="69" t="s">
        <v>233</v>
      </c>
      <c r="B2" s="69"/>
      <c r="C2" s="69"/>
    </row>
    <row r="3" spans="1:3" ht="12.75">
      <c r="A3" s="71" t="s">
        <v>20</v>
      </c>
      <c r="B3" s="71"/>
      <c r="C3" s="71"/>
    </row>
    <row r="4" ht="12.75">
      <c r="A4" s="3"/>
    </row>
    <row r="5" spans="1:3" ht="12.75">
      <c r="A5" s="16" t="s">
        <v>21</v>
      </c>
      <c r="B5" s="16" t="s">
        <v>22</v>
      </c>
      <c r="C5" s="16" t="s">
        <v>23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24</v>
      </c>
      <c r="C7" s="28">
        <f>SUM(C8:C12)</f>
        <v>185947869.95</v>
      </c>
    </row>
    <row r="8" spans="1:3" ht="12.75">
      <c r="A8" s="72"/>
      <c r="B8" s="17" t="s">
        <v>25</v>
      </c>
      <c r="C8" s="74">
        <v>153952526.26</v>
      </c>
    </row>
    <row r="9" spans="1:3" ht="12.75">
      <c r="A9" s="72"/>
      <c r="B9" s="17" t="s">
        <v>26</v>
      </c>
      <c r="C9" s="75"/>
    </row>
    <row r="10" spans="1:3" ht="12.75">
      <c r="A10" s="17"/>
      <c r="B10" s="17" t="s">
        <v>27</v>
      </c>
      <c r="C10" s="61" t="s">
        <v>230</v>
      </c>
    </row>
    <row r="11" spans="1:3" ht="12.75">
      <c r="A11" s="17"/>
      <c r="B11" s="17" t="s">
        <v>28</v>
      </c>
      <c r="C11" s="28">
        <v>31938078.33</v>
      </c>
    </row>
    <row r="12" spans="1:3" ht="12.75">
      <c r="A12" s="17"/>
      <c r="B12" s="17" t="s">
        <v>27</v>
      </c>
      <c r="C12" s="28">
        <v>57265.36</v>
      </c>
    </row>
    <row r="13" spans="1:3" ht="12.75">
      <c r="A13" s="17"/>
      <c r="B13" s="17" t="s">
        <v>29</v>
      </c>
      <c r="C13" s="28">
        <f>C14+C21+C23+C25</f>
        <v>291371.66</v>
      </c>
    </row>
    <row r="14" spans="1:3" ht="12.75">
      <c r="A14" s="72"/>
      <c r="B14" s="17" t="s">
        <v>25</v>
      </c>
      <c r="C14" s="74">
        <f>C16+C18</f>
        <v>31833.44</v>
      </c>
    </row>
    <row r="15" spans="1:3" ht="12.75">
      <c r="A15" s="72"/>
      <c r="B15" s="17" t="s">
        <v>30</v>
      </c>
      <c r="C15" s="75"/>
    </row>
    <row r="16" spans="1:4" ht="12.75">
      <c r="A16" s="72"/>
      <c r="B16" s="17" t="s">
        <v>25</v>
      </c>
      <c r="C16" s="74">
        <v>31833.44</v>
      </c>
      <c r="D16" t="s">
        <v>231</v>
      </c>
    </row>
    <row r="17" spans="1:3" ht="12.75">
      <c r="A17" s="72"/>
      <c r="B17" s="17" t="s">
        <v>31</v>
      </c>
      <c r="C17" s="75"/>
    </row>
    <row r="18" spans="1:3" ht="25.5">
      <c r="A18" s="17"/>
      <c r="B18" s="17" t="s">
        <v>32</v>
      </c>
      <c r="C18" s="28"/>
    </row>
    <row r="19" spans="1:3" ht="12.75">
      <c r="A19" s="17"/>
      <c r="B19" s="17" t="s">
        <v>33</v>
      </c>
      <c r="C19" s="28"/>
    </row>
    <row r="20" spans="1:3" ht="12.75">
      <c r="A20" s="17"/>
      <c r="B20" s="17" t="s">
        <v>34</v>
      </c>
      <c r="C20" s="28"/>
    </row>
    <row r="21" spans="1:4" ht="12.75">
      <c r="A21" s="72"/>
      <c r="B21" s="17" t="s">
        <v>25</v>
      </c>
      <c r="C21" s="73">
        <v>42790.39</v>
      </c>
      <c r="D21" t="s">
        <v>232</v>
      </c>
    </row>
    <row r="22" spans="1:3" ht="12.75">
      <c r="A22" s="72"/>
      <c r="B22" s="17" t="s">
        <v>35</v>
      </c>
      <c r="C22" s="73"/>
    </row>
    <row r="23" spans="1:4" ht="12.75">
      <c r="A23" s="17"/>
      <c r="B23" s="17" t="s">
        <v>36</v>
      </c>
      <c r="C23" s="28">
        <v>216747.83</v>
      </c>
      <c r="D23">
        <v>260</v>
      </c>
    </row>
    <row r="24" spans="1:3" ht="12.75">
      <c r="A24" s="17"/>
      <c r="B24" s="17" t="s">
        <v>37</v>
      </c>
      <c r="C24" s="28"/>
    </row>
    <row r="25" spans="1:4" ht="12.75">
      <c r="A25" s="17"/>
      <c r="B25" s="17" t="s">
        <v>38</v>
      </c>
      <c r="C25" s="28"/>
      <c r="D25">
        <v>430</v>
      </c>
    </row>
    <row r="26" spans="1:3" ht="12.75">
      <c r="A26" s="17"/>
      <c r="B26" s="17" t="s">
        <v>39</v>
      </c>
      <c r="C26" s="28"/>
    </row>
    <row r="27" spans="1:3" ht="12.75">
      <c r="A27" s="72"/>
      <c r="B27" s="17" t="s">
        <v>25</v>
      </c>
      <c r="C27" s="73"/>
    </row>
    <row r="28" spans="1:3" ht="25.5">
      <c r="A28" s="72"/>
      <c r="B28" s="17" t="s">
        <v>40</v>
      </c>
      <c r="C28" s="73"/>
    </row>
    <row r="29" spans="1:4" ht="38.25">
      <c r="A29" s="17"/>
      <c r="B29" s="17" t="s">
        <v>41</v>
      </c>
      <c r="C29" s="28">
        <v>50100.25</v>
      </c>
      <c r="D29">
        <v>470</v>
      </c>
    </row>
    <row r="30" spans="1:3" ht="12.75">
      <c r="A30" s="72"/>
      <c r="B30" s="17" t="s">
        <v>42</v>
      </c>
      <c r="C30" s="73"/>
    </row>
    <row r="31" spans="1:3" ht="12.75">
      <c r="A31" s="72"/>
      <c r="B31" s="17" t="s">
        <v>43</v>
      </c>
      <c r="C31" s="73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88">
      <selection activeCell="F107" sqref="F107"/>
    </sheetView>
  </sheetViews>
  <sheetFormatPr defaultColWidth="9.00390625" defaultRowHeight="12.75" outlineLevelRow="1"/>
  <cols>
    <col min="1" max="1" width="34.875" style="0" customWidth="1"/>
    <col min="3" max="3" width="13.125" style="0" customWidth="1"/>
    <col min="4" max="4" width="16.00390625" style="0" customWidth="1"/>
    <col min="5" max="5" width="14.375" style="0" customWidth="1"/>
    <col min="6" max="6" width="15.625" style="0" customWidth="1"/>
    <col min="7" max="7" width="14.75390625" style="0" customWidth="1"/>
    <col min="8" max="8" width="15.75390625" style="0" customWidth="1"/>
    <col min="9" max="9" width="17.625" style="0" customWidth="1"/>
  </cols>
  <sheetData>
    <row r="1" ht="12.75">
      <c r="A1" s="3">
        <v>7</v>
      </c>
    </row>
    <row r="2" spans="1:9" ht="15.75">
      <c r="A2" s="69" t="s">
        <v>44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69" t="s">
        <v>45</v>
      </c>
      <c r="B3" s="69"/>
      <c r="C3" s="69"/>
      <c r="D3" s="69"/>
      <c r="E3" s="69"/>
      <c r="F3" s="69"/>
      <c r="G3" s="69"/>
      <c r="H3" s="69"/>
      <c r="I3" s="69"/>
    </row>
    <row r="4" spans="1:9" ht="12.75">
      <c r="A4" s="95">
        <f>'титульный лист'!C23</f>
        <v>43830</v>
      </c>
      <c r="B4" s="95"/>
      <c r="C4" s="95"/>
      <c r="D4" s="95"/>
      <c r="E4" s="95"/>
      <c r="F4" s="95"/>
      <c r="G4" s="95"/>
      <c r="H4" s="95"/>
      <c r="I4" s="95"/>
    </row>
    <row r="5" ht="12.75">
      <c r="A5" s="3"/>
    </row>
    <row r="6" spans="1:9" ht="12.75">
      <c r="A6" s="89" t="s">
        <v>22</v>
      </c>
      <c r="B6" s="18" t="s">
        <v>46</v>
      </c>
      <c r="C6" s="89" t="s">
        <v>48</v>
      </c>
      <c r="D6" s="89" t="s">
        <v>49</v>
      </c>
      <c r="E6" s="89"/>
      <c r="F6" s="89"/>
      <c r="G6" s="89"/>
      <c r="H6" s="89"/>
      <c r="I6" s="89"/>
    </row>
    <row r="7" spans="1:9" ht="12.75">
      <c r="A7" s="89"/>
      <c r="B7" s="18" t="s">
        <v>47</v>
      </c>
      <c r="C7" s="89"/>
      <c r="D7" s="89" t="s">
        <v>50</v>
      </c>
      <c r="E7" s="86" t="s">
        <v>42</v>
      </c>
      <c r="F7" s="86"/>
      <c r="G7" s="86"/>
      <c r="H7" s="86"/>
      <c r="I7" s="86"/>
    </row>
    <row r="8" spans="1:9" ht="12.75">
      <c r="A8" s="89"/>
      <c r="B8" s="19"/>
      <c r="C8" s="89"/>
      <c r="D8" s="89"/>
      <c r="E8" s="86" t="s">
        <v>51</v>
      </c>
      <c r="F8" s="86" t="s">
        <v>52</v>
      </c>
      <c r="G8" s="86" t="s">
        <v>53</v>
      </c>
      <c r="H8" s="86" t="s">
        <v>54</v>
      </c>
      <c r="I8" s="86"/>
    </row>
    <row r="9" spans="1:9" ht="12.75">
      <c r="A9" s="89"/>
      <c r="B9" s="19"/>
      <c r="C9" s="89"/>
      <c r="D9" s="89"/>
      <c r="E9" s="86"/>
      <c r="F9" s="86"/>
      <c r="G9" s="86"/>
      <c r="H9" s="16" t="s">
        <v>50</v>
      </c>
      <c r="I9" s="16" t="s">
        <v>55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72" t="s">
        <v>56</v>
      </c>
      <c r="B11" s="87">
        <v>1</v>
      </c>
      <c r="C11" s="20"/>
      <c r="D11" s="88">
        <f>E11+F11+G11+H11</f>
        <v>31833.44</v>
      </c>
      <c r="E11" s="88"/>
      <c r="F11" s="88"/>
      <c r="G11" s="88"/>
      <c r="H11" s="88">
        <v>31833.44</v>
      </c>
      <c r="I11" s="88"/>
    </row>
    <row r="12" spans="1:9" ht="12.75">
      <c r="A12" s="72"/>
      <c r="B12" s="87"/>
      <c r="C12" s="20" t="s">
        <v>57</v>
      </c>
      <c r="D12" s="88"/>
      <c r="E12" s="88"/>
      <c r="F12" s="88"/>
      <c r="G12" s="88"/>
      <c r="H12" s="88"/>
      <c r="I12" s="88"/>
    </row>
    <row r="13" spans="1:9" ht="38.25">
      <c r="A13" s="17" t="s">
        <v>58</v>
      </c>
      <c r="B13" s="20">
        <v>2</v>
      </c>
      <c r="C13" s="20">
        <v>180</v>
      </c>
      <c r="D13" s="29"/>
      <c r="E13" s="29" t="s">
        <v>57</v>
      </c>
      <c r="F13" s="29"/>
      <c r="G13" s="29"/>
      <c r="H13" s="20" t="s">
        <v>57</v>
      </c>
      <c r="I13" s="20" t="s">
        <v>57</v>
      </c>
    </row>
    <row r="14" spans="1:9" ht="12.75">
      <c r="A14" s="72" t="s">
        <v>59</v>
      </c>
      <c r="B14" s="87">
        <v>3</v>
      </c>
      <c r="C14" s="20"/>
      <c r="D14" s="82"/>
      <c r="E14" s="82"/>
      <c r="F14" s="82" t="s">
        <v>57</v>
      </c>
      <c r="G14" s="82" t="s">
        <v>57</v>
      </c>
      <c r="H14" s="87" t="s">
        <v>57</v>
      </c>
      <c r="I14" s="87" t="s">
        <v>57</v>
      </c>
    </row>
    <row r="15" spans="1:9" ht="12.75">
      <c r="A15" s="72"/>
      <c r="B15" s="87"/>
      <c r="C15" s="20">
        <v>130</v>
      </c>
      <c r="D15" s="82"/>
      <c r="E15" s="82"/>
      <c r="F15" s="82"/>
      <c r="G15" s="82"/>
      <c r="H15" s="87"/>
      <c r="I15" s="87"/>
    </row>
    <row r="16" spans="1:9" ht="12.75">
      <c r="A16" s="23" t="s">
        <v>60</v>
      </c>
      <c r="B16" s="87">
        <v>4</v>
      </c>
      <c r="C16" s="20"/>
      <c r="D16" s="88">
        <f>E16+F16+G16+H16</f>
        <v>113135389.33000001</v>
      </c>
      <c r="E16" s="88">
        <f>76949000.82+4200-4200+1410059.2+4030553.18-762.32+118836.51-130649.58+835221.54-21099.26+1096459.63+378.3</f>
        <v>84287998.02000001</v>
      </c>
      <c r="F16" s="88">
        <f>F42</f>
        <v>26355208.78</v>
      </c>
      <c r="G16" s="88"/>
      <c r="H16" s="88">
        <f>H20+H23+H51+H41</f>
        <v>2492182.53</v>
      </c>
      <c r="I16" s="87"/>
    </row>
    <row r="17" spans="1:9" ht="12.75">
      <c r="A17" s="24"/>
      <c r="B17" s="87"/>
      <c r="C17" s="20" t="s">
        <v>57</v>
      </c>
      <c r="D17" s="88"/>
      <c r="E17" s="88"/>
      <c r="F17" s="88"/>
      <c r="G17" s="88"/>
      <c r="H17" s="88"/>
      <c r="I17" s="87"/>
    </row>
    <row r="18" spans="1:9" ht="12.75" outlineLevel="1">
      <c r="A18" s="17" t="s">
        <v>42</v>
      </c>
      <c r="B18" s="87">
        <v>5</v>
      </c>
      <c r="C18" s="20"/>
      <c r="D18" s="82">
        <f>H18</f>
        <v>477947.2</v>
      </c>
      <c r="E18" s="82" t="s">
        <v>57</v>
      </c>
      <c r="F18" s="82" t="s">
        <v>57</v>
      </c>
      <c r="G18" s="82" t="s">
        <v>57</v>
      </c>
      <c r="H18" s="82">
        <f>H20</f>
        <v>477947.2</v>
      </c>
      <c r="I18" s="82" t="s">
        <v>57</v>
      </c>
    </row>
    <row r="19" spans="1:9" ht="12.75" outlineLevel="1">
      <c r="A19" s="17" t="s">
        <v>61</v>
      </c>
      <c r="B19" s="87"/>
      <c r="C19" s="20">
        <v>120</v>
      </c>
      <c r="D19" s="82"/>
      <c r="E19" s="82"/>
      <c r="F19" s="82"/>
      <c r="G19" s="82"/>
      <c r="H19" s="82"/>
      <c r="I19" s="82"/>
    </row>
    <row r="20" spans="1:9" ht="12.75" outlineLevel="1">
      <c r="A20" s="21" t="s">
        <v>25</v>
      </c>
      <c r="B20" s="87">
        <v>6</v>
      </c>
      <c r="C20" s="87">
        <v>120</v>
      </c>
      <c r="D20" s="82">
        <f>H20</f>
        <v>477947.2</v>
      </c>
      <c r="E20" s="82" t="s">
        <v>57</v>
      </c>
      <c r="F20" s="82" t="s">
        <v>57</v>
      </c>
      <c r="G20" s="82" t="s">
        <v>57</v>
      </c>
      <c r="H20" s="82">
        <v>477947.2</v>
      </c>
      <c r="I20" s="82" t="s">
        <v>57</v>
      </c>
    </row>
    <row r="21" spans="1:9" ht="38.25" outlineLevel="1">
      <c r="A21" s="21" t="s">
        <v>62</v>
      </c>
      <c r="B21" s="87"/>
      <c r="C21" s="87"/>
      <c r="D21" s="82"/>
      <c r="E21" s="82"/>
      <c r="F21" s="82"/>
      <c r="G21" s="82"/>
      <c r="H21" s="82"/>
      <c r="I21" s="82"/>
    </row>
    <row r="22" spans="1:9" ht="25.5" outlineLevel="1">
      <c r="A22" s="21" t="s">
        <v>63</v>
      </c>
      <c r="B22" s="20">
        <v>7</v>
      </c>
      <c r="C22" s="20">
        <v>120</v>
      </c>
      <c r="D22" s="29"/>
      <c r="E22" s="29" t="s">
        <v>57</v>
      </c>
      <c r="F22" s="29" t="s">
        <v>57</v>
      </c>
      <c r="G22" s="29" t="s">
        <v>57</v>
      </c>
      <c r="H22" s="29"/>
      <c r="I22" s="29" t="s">
        <v>57</v>
      </c>
    </row>
    <row r="23" spans="1:9" ht="12.75" outlineLevel="1">
      <c r="A23" s="17" t="s">
        <v>64</v>
      </c>
      <c r="B23" s="20">
        <v>8</v>
      </c>
      <c r="C23" s="20">
        <v>130</v>
      </c>
      <c r="D23" s="29">
        <f>H23</f>
        <v>2014235.3299999998</v>
      </c>
      <c r="E23" s="29"/>
      <c r="F23" s="29" t="s">
        <v>57</v>
      </c>
      <c r="G23" s="29" t="s">
        <v>57</v>
      </c>
      <c r="H23" s="29">
        <f>SUM(H24:H40)</f>
        <v>2014235.3299999998</v>
      </c>
      <c r="I23" s="29"/>
    </row>
    <row r="24" spans="1:9" ht="12.75" outlineLevel="1">
      <c r="A24" s="21" t="s">
        <v>65</v>
      </c>
      <c r="B24" s="86">
        <v>9</v>
      </c>
      <c r="C24" s="86">
        <v>130</v>
      </c>
      <c r="D24" s="78"/>
      <c r="E24" s="78" t="s">
        <v>57</v>
      </c>
      <c r="F24" s="78" t="s">
        <v>57</v>
      </c>
      <c r="G24" s="78" t="s">
        <v>57</v>
      </c>
      <c r="H24" s="78"/>
      <c r="I24" s="78"/>
    </row>
    <row r="25" spans="1:9" ht="25.5" outlineLevel="1">
      <c r="A25" s="21" t="s">
        <v>66</v>
      </c>
      <c r="B25" s="86"/>
      <c r="C25" s="86"/>
      <c r="D25" s="78"/>
      <c r="E25" s="78"/>
      <c r="F25" s="78"/>
      <c r="G25" s="78"/>
      <c r="H25" s="78"/>
      <c r="I25" s="78"/>
    </row>
    <row r="26" spans="1:9" ht="12.75" outlineLevel="1">
      <c r="A26" s="17" t="s">
        <v>42</v>
      </c>
      <c r="B26" s="86">
        <v>10</v>
      </c>
      <c r="C26" s="86">
        <v>130</v>
      </c>
      <c r="D26" s="78"/>
      <c r="E26" s="78" t="s">
        <v>57</v>
      </c>
      <c r="F26" s="78" t="s">
        <v>57</v>
      </c>
      <c r="G26" s="78" t="s">
        <v>57</v>
      </c>
      <c r="H26" s="78"/>
      <c r="I26" s="78"/>
    </row>
    <row r="27" spans="1:9" ht="12.75" outlineLevel="1">
      <c r="A27" s="17" t="s">
        <v>67</v>
      </c>
      <c r="B27" s="86"/>
      <c r="C27" s="86"/>
      <c r="D27" s="78"/>
      <c r="E27" s="78"/>
      <c r="F27" s="78"/>
      <c r="G27" s="78"/>
      <c r="H27" s="78"/>
      <c r="I27" s="78"/>
    </row>
    <row r="28" spans="1:9" ht="12.75" outlineLevel="1">
      <c r="A28" s="17" t="s">
        <v>42</v>
      </c>
      <c r="B28" s="86">
        <v>11</v>
      </c>
      <c r="C28" s="86">
        <v>130</v>
      </c>
      <c r="D28" s="78"/>
      <c r="E28" s="78" t="s">
        <v>57</v>
      </c>
      <c r="F28" s="78" t="s">
        <v>57</v>
      </c>
      <c r="G28" s="78" t="s">
        <v>57</v>
      </c>
      <c r="H28" s="78"/>
      <c r="I28" s="78"/>
    </row>
    <row r="29" spans="1:9" ht="12.75" outlineLevel="1">
      <c r="A29" s="17" t="s">
        <v>68</v>
      </c>
      <c r="B29" s="86"/>
      <c r="C29" s="86"/>
      <c r="D29" s="78"/>
      <c r="E29" s="78"/>
      <c r="F29" s="78"/>
      <c r="G29" s="78"/>
      <c r="H29" s="78"/>
      <c r="I29" s="78"/>
    </row>
    <row r="30" spans="1:9" ht="12.75" outlineLevel="1">
      <c r="A30" s="17" t="s">
        <v>69</v>
      </c>
      <c r="B30" s="86"/>
      <c r="C30" s="86"/>
      <c r="D30" s="78"/>
      <c r="E30" s="78"/>
      <c r="F30" s="78"/>
      <c r="G30" s="78"/>
      <c r="H30" s="78"/>
      <c r="I30" s="78"/>
    </row>
    <row r="31" spans="1:9" ht="12.75" outlineLevel="1">
      <c r="A31" s="17" t="s">
        <v>42</v>
      </c>
      <c r="B31" s="86">
        <v>12</v>
      </c>
      <c r="C31" s="86">
        <v>130</v>
      </c>
      <c r="D31" s="82">
        <f>H31</f>
        <v>1809740.9</v>
      </c>
      <c r="E31" s="82" t="s">
        <v>57</v>
      </c>
      <c r="F31" s="82" t="s">
        <v>57</v>
      </c>
      <c r="G31" s="82" t="s">
        <v>57</v>
      </c>
      <c r="H31" s="82">
        <f>1681800.52+16539.98-56661.6+168062</f>
        <v>1809740.9</v>
      </c>
      <c r="I31" s="78"/>
    </row>
    <row r="32" spans="1:9" ht="25.5" outlineLevel="1">
      <c r="A32" s="17" t="s">
        <v>70</v>
      </c>
      <c r="B32" s="86"/>
      <c r="C32" s="86"/>
      <c r="D32" s="82"/>
      <c r="E32" s="82"/>
      <c r="F32" s="82"/>
      <c r="G32" s="82"/>
      <c r="H32" s="82"/>
      <c r="I32" s="78"/>
    </row>
    <row r="33" spans="1:9" ht="38.25" outlineLevel="1">
      <c r="A33" s="17" t="s">
        <v>71</v>
      </c>
      <c r="B33" s="16">
        <v>13</v>
      </c>
      <c r="C33" s="16">
        <v>130</v>
      </c>
      <c r="D33" s="30"/>
      <c r="E33" s="30" t="s">
        <v>57</v>
      </c>
      <c r="F33" s="30" t="s">
        <v>57</v>
      </c>
      <c r="G33" s="30" t="s">
        <v>57</v>
      </c>
      <c r="H33" s="30"/>
      <c r="I33" s="30"/>
    </row>
    <row r="34" spans="1:9" ht="38.25" outlineLevel="1">
      <c r="A34" s="17" t="s">
        <v>72</v>
      </c>
      <c r="B34" s="16">
        <v>14</v>
      </c>
      <c r="C34" s="16">
        <v>130</v>
      </c>
      <c r="D34" s="30"/>
      <c r="E34" s="30" t="s">
        <v>57</v>
      </c>
      <c r="F34" s="30" t="s">
        <v>57</v>
      </c>
      <c r="G34" s="30" t="s">
        <v>57</v>
      </c>
      <c r="H34" s="30"/>
      <c r="I34" s="30"/>
    </row>
    <row r="35" spans="1:9" ht="25.5" outlineLevel="1">
      <c r="A35" s="17" t="s">
        <v>73</v>
      </c>
      <c r="B35" s="16">
        <v>15</v>
      </c>
      <c r="C35" s="16">
        <v>130</v>
      </c>
      <c r="D35" s="30"/>
      <c r="E35" s="30" t="s">
        <v>57</v>
      </c>
      <c r="F35" s="30" t="s">
        <v>57</v>
      </c>
      <c r="G35" s="30" t="s">
        <v>57</v>
      </c>
      <c r="H35" s="30"/>
      <c r="I35" s="30"/>
    </row>
    <row r="36" spans="1:9" ht="25.5" outlineLevel="1">
      <c r="A36" s="17" t="s">
        <v>74</v>
      </c>
      <c r="B36" s="16">
        <v>16</v>
      </c>
      <c r="C36" s="16">
        <v>130</v>
      </c>
      <c r="D36" s="30"/>
      <c r="E36" s="30" t="s">
        <v>57</v>
      </c>
      <c r="F36" s="30" t="s">
        <v>57</v>
      </c>
      <c r="G36" s="30" t="s">
        <v>57</v>
      </c>
      <c r="H36" s="30"/>
      <c r="I36" s="30"/>
    </row>
    <row r="37" spans="1:9" ht="12.75" outlineLevel="1">
      <c r="A37" s="17" t="s">
        <v>42</v>
      </c>
      <c r="B37" s="86">
        <v>17</v>
      </c>
      <c r="C37" s="86">
        <v>130</v>
      </c>
      <c r="D37" s="78"/>
      <c r="E37" s="78" t="s">
        <v>57</v>
      </c>
      <c r="F37" s="78" t="s">
        <v>57</v>
      </c>
      <c r="G37" s="78" t="s">
        <v>57</v>
      </c>
      <c r="H37" s="78"/>
      <c r="I37" s="78"/>
    </row>
    <row r="38" spans="1:9" ht="25.5" outlineLevel="1">
      <c r="A38" s="17" t="s">
        <v>75</v>
      </c>
      <c r="B38" s="86"/>
      <c r="C38" s="86"/>
      <c r="D38" s="78"/>
      <c r="E38" s="78"/>
      <c r="F38" s="78"/>
      <c r="G38" s="78"/>
      <c r="H38" s="78"/>
      <c r="I38" s="78"/>
    </row>
    <row r="39" spans="1:9" ht="25.5" outlineLevel="1">
      <c r="A39" s="17" t="s">
        <v>76</v>
      </c>
      <c r="B39" s="16">
        <v>18</v>
      </c>
      <c r="C39" s="16">
        <v>130</v>
      </c>
      <c r="D39" s="30"/>
      <c r="E39" s="30" t="s">
        <v>57</v>
      </c>
      <c r="F39" s="30" t="s">
        <v>57</v>
      </c>
      <c r="G39" s="30" t="s">
        <v>57</v>
      </c>
      <c r="H39" s="30"/>
      <c r="I39" s="30"/>
    </row>
    <row r="40" spans="1:9" ht="12.75" outlineLevel="1">
      <c r="A40" s="17" t="s">
        <v>77</v>
      </c>
      <c r="B40" s="16">
        <v>19</v>
      </c>
      <c r="C40" s="16">
        <v>130</v>
      </c>
      <c r="D40" s="30">
        <f>H40</f>
        <v>204494.43</v>
      </c>
      <c r="E40" s="30" t="s">
        <v>57</v>
      </c>
      <c r="F40" s="30" t="s">
        <v>57</v>
      </c>
      <c r="G40" s="30" t="s">
        <v>57</v>
      </c>
      <c r="H40" s="30">
        <f>89615.57+114878.86</f>
        <v>204494.43</v>
      </c>
      <c r="I40" s="30"/>
    </row>
    <row r="41" spans="1:9" ht="25.5" outlineLevel="1">
      <c r="A41" s="17" t="s">
        <v>78</v>
      </c>
      <c r="B41" s="16">
        <v>20</v>
      </c>
      <c r="C41" s="16">
        <v>140</v>
      </c>
      <c r="D41" s="30"/>
      <c r="E41" s="30" t="s">
        <v>57</v>
      </c>
      <c r="F41" s="30" t="s">
        <v>57</v>
      </c>
      <c r="G41" s="30" t="s">
        <v>57</v>
      </c>
      <c r="H41" s="30"/>
      <c r="I41" s="30" t="s">
        <v>57</v>
      </c>
    </row>
    <row r="42" spans="1:9" ht="25.5" outlineLevel="1">
      <c r="A42" s="17" t="s">
        <v>79</v>
      </c>
      <c r="B42" s="16">
        <v>21</v>
      </c>
      <c r="C42" s="16">
        <v>180</v>
      </c>
      <c r="D42" s="30">
        <f>F42+G42</f>
        <v>26355208.78</v>
      </c>
      <c r="E42" s="30" t="s">
        <v>57</v>
      </c>
      <c r="F42" s="53">
        <f>19577761.51+4200+17000+2035914.65-286000+7512537+762.32+56661.6-820000+2330+99999.94-26217.13+514770+394611.5+453582.13+247424-2493123.97-67018+833333.34-197940.27-96221.85+16080.97-141044.9-1413723.76-4200-378.3+17768+116340</f>
        <v>26355208.78</v>
      </c>
      <c r="G42" s="30"/>
      <c r="H42" s="30" t="s">
        <v>57</v>
      </c>
      <c r="I42" s="30" t="s">
        <v>57</v>
      </c>
    </row>
    <row r="43" spans="1:9" ht="12.75" outlineLevel="1">
      <c r="A43" s="17" t="s">
        <v>80</v>
      </c>
      <c r="B43" s="22">
        <v>22</v>
      </c>
      <c r="C43" s="16" t="s">
        <v>57</v>
      </c>
      <c r="D43" s="30"/>
      <c r="E43" s="30" t="s">
        <v>57</v>
      </c>
      <c r="F43" s="52"/>
      <c r="G43" s="30" t="s">
        <v>57</v>
      </c>
      <c r="H43" s="30"/>
      <c r="I43" s="30" t="s">
        <v>57</v>
      </c>
    </row>
    <row r="44" spans="1:9" ht="12.75" outlineLevel="1">
      <c r="A44" s="21" t="s">
        <v>25</v>
      </c>
      <c r="B44" s="77">
        <v>23</v>
      </c>
      <c r="C44" s="16"/>
      <c r="D44" s="78"/>
      <c r="E44" s="78" t="s">
        <v>57</v>
      </c>
      <c r="F44" s="78" t="s">
        <v>57</v>
      </c>
      <c r="G44" s="78" t="s">
        <v>57</v>
      </c>
      <c r="H44" s="78"/>
      <c r="I44" s="78" t="s">
        <v>57</v>
      </c>
    </row>
    <row r="45" spans="1:9" ht="25.5" outlineLevel="1">
      <c r="A45" s="21" t="s">
        <v>81</v>
      </c>
      <c r="B45" s="77"/>
      <c r="C45" s="16">
        <v>410</v>
      </c>
      <c r="D45" s="78"/>
      <c r="E45" s="78"/>
      <c r="F45" s="78"/>
      <c r="G45" s="78"/>
      <c r="H45" s="78"/>
      <c r="I45" s="78"/>
    </row>
    <row r="46" spans="1:9" ht="12.75" outlineLevel="1">
      <c r="A46" s="76" t="s">
        <v>82</v>
      </c>
      <c r="B46" s="77">
        <v>24</v>
      </c>
      <c r="C46" s="16"/>
      <c r="D46" s="78"/>
      <c r="E46" s="78" t="s">
        <v>57</v>
      </c>
      <c r="F46" s="78" t="s">
        <v>57</v>
      </c>
      <c r="G46" s="78" t="s">
        <v>57</v>
      </c>
      <c r="H46" s="78"/>
      <c r="I46" s="78" t="s">
        <v>57</v>
      </c>
    </row>
    <row r="47" spans="1:9" ht="12.75" outlineLevel="1">
      <c r="A47" s="76"/>
      <c r="B47" s="77"/>
      <c r="C47" s="16">
        <v>420</v>
      </c>
      <c r="D47" s="78"/>
      <c r="E47" s="78"/>
      <c r="F47" s="78"/>
      <c r="G47" s="78"/>
      <c r="H47" s="78"/>
      <c r="I47" s="78"/>
    </row>
    <row r="48" spans="1:9" ht="12.75" outlineLevel="1">
      <c r="A48" s="76" t="s">
        <v>83</v>
      </c>
      <c r="B48" s="77">
        <v>25</v>
      </c>
      <c r="C48" s="16"/>
      <c r="D48" s="78"/>
      <c r="E48" s="78" t="s">
        <v>57</v>
      </c>
      <c r="F48" s="78" t="s">
        <v>57</v>
      </c>
      <c r="G48" s="78" t="s">
        <v>57</v>
      </c>
      <c r="H48" s="78"/>
      <c r="I48" s="78" t="s">
        <v>57</v>
      </c>
    </row>
    <row r="49" spans="1:9" ht="12.75" outlineLevel="1">
      <c r="A49" s="76"/>
      <c r="B49" s="77"/>
      <c r="C49" s="16">
        <v>440</v>
      </c>
      <c r="D49" s="78"/>
      <c r="E49" s="78"/>
      <c r="F49" s="78"/>
      <c r="G49" s="78"/>
      <c r="H49" s="78"/>
      <c r="I49" s="78"/>
    </row>
    <row r="50" spans="1:9" ht="25.5" outlineLevel="1">
      <c r="A50" s="21" t="s">
        <v>84</v>
      </c>
      <c r="B50" s="22">
        <v>26</v>
      </c>
      <c r="C50" s="16">
        <v>620</v>
      </c>
      <c r="D50" s="30"/>
      <c r="E50" s="30" t="s">
        <v>57</v>
      </c>
      <c r="F50" s="30" t="s">
        <v>57</v>
      </c>
      <c r="G50" s="30" t="s">
        <v>57</v>
      </c>
      <c r="H50" s="30"/>
      <c r="I50" s="30" t="s">
        <v>57</v>
      </c>
    </row>
    <row r="51" spans="1:9" ht="12.75" outlineLevel="1">
      <c r="A51" s="17" t="s">
        <v>85</v>
      </c>
      <c r="B51" s="22">
        <v>27</v>
      </c>
      <c r="C51" s="16">
        <v>180</v>
      </c>
      <c r="D51" s="30">
        <f>H51</f>
        <v>0</v>
      </c>
      <c r="E51" s="30" t="s">
        <v>57</v>
      </c>
      <c r="F51" s="30" t="s">
        <v>57</v>
      </c>
      <c r="G51" s="30" t="s">
        <v>57</v>
      </c>
      <c r="H51" s="30"/>
      <c r="I51" s="30"/>
    </row>
    <row r="52" spans="1:9" ht="12.75" outlineLevel="1">
      <c r="A52" s="32" t="s">
        <v>86</v>
      </c>
      <c r="B52" s="31">
        <v>28</v>
      </c>
      <c r="C52" s="33" t="s">
        <v>57</v>
      </c>
      <c r="D52" s="34">
        <f>E52+F52+G52+H52+D80</f>
        <v>113167222.77000001</v>
      </c>
      <c r="E52" s="34">
        <f>E53+E77+E82+E87+E94</f>
        <v>84287998.02000001</v>
      </c>
      <c r="F52" s="48">
        <f>F53+F77+F82+F87+F94</f>
        <v>26355208.779999997</v>
      </c>
      <c r="G52" s="48">
        <f>G53+G82+G87+G94</f>
        <v>0</v>
      </c>
      <c r="H52" s="55">
        <f>H53+H77+H82+H87+H94+H80</f>
        <v>2524015.9699999997</v>
      </c>
      <c r="I52" s="34"/>
    </row>
    <row r="53" spans="1:9" ht="12.75" outlineLevel="1">
      <c r="A53" s="17" t="s">
        <v>42</v>
      </c>
      <c r="B53" s="77">
        <v>29</v>
      </c>
      <c r="C53" s="16"/>
      <c r="D53" s="83">
        <f>E53+F53+G53+H53</f>
        <v>71634612.44000001</v>
      </c>
      <c r="E53" s="83">
        <f>E55+E62+E63+E64</f>
        <v>69828187.99000001</v>
      </c>
      <c r="F53" s="83">
        <f>F55+F62+F63+F64</f>
        <v>633362.45</v>
      </c>
      <c r="G53" s="83">
        <f>G55+G62+G63+G64</f>
        <v>0</v>
      </c>
      <c r="H53" s="83">
        <f>H55+H62+H63+H64</f>
        <v>1173062</v>
      </c>
      <c r="I53" s="83"/>
    </row>
    <row r="54" spans="1:9" ht="12.75" outlineLevel="1">
      <c r="A54" s="17" t="s">
        <v>87</v>
      </c>
      <c r="B54" s="77"/>
      <c r="C54" s="16">
        <v>100</v>
      </c>
      <c r="D54" s="83"/>
      <c r="E54" s="83"/>
      <c r="F54" s="83"/>
      <c r="G54" s="83"/>
      <c r="H54" s="83"/>
      <c r="I54" s="83"/>
    </row>
    <row r="55" spans="1:9" ht="12.75" outlineLevel="1">
      <c r="A55" s="21" t="s">
        <v>25</v>
      </c>
      <c r="B55" s="77">
        <v>30</v>
      </c>
      <c r="C55" s="16"/>
      <c r="D55" s="82">
        <f>E55+F55+G55+H55</f>
        <v>54589758.42000001</v>
      </c>
      <c r="E55" s="82">
        <f>E58+E59+E60+E61</f>
        <v>53708758.42000001</v>
      </c>
      <c r="F55" s="88">
        <f>F58+F59+F60+F61</f>
        <v>0</v>
      </c>
      <c r="G55" s="82">
        <f>G58+G59+G60+G61</f>
        <v>0</v>
      </c>
      <c r="H55" s="82">
        <f>H58+H59+H60+H61</f>
        <v>881000</v>
      </c>
      <c r="I55" s="78"/>
    </row>
    <row r="56" spans="1:9" ht="12.75" outlineLevel="1">
      <c r="A56" s="21" t="s">
        <v>88</v>
      </c>
      <c r="B56" s="77"/>
      <c r="C56" s="16">
        <v>111</v>
      </c>
      <c r="D56" s="82"/>
      <c r="E56" s="82"/>
      <c r="F56" s="88"/>
      <c r="G56" s="82"/>
      <c r="H56" s="82"/>
      <c r="I56" s="78"/>
    </row>
    <row r="57" spans="1:9" ht="12.75" outlineLevel="1">
      <c r="A57" s="17" t="s">
        <v>42</v>
      </c>
      <c r="B57" s="77">
        <v>31</v>
      </c>
      <c r="C57" s="16"/>
      <c r="D57" s="28"/>
      <c r="E57" s="28"/>
      <c r="F57" s="42"/>
      <c r="G57" s="28"/>
      <c r="H57" s="28"/>
      <c r="I57" s="78"/>
    </row>
    <row r="58" spans="1:9" ht="12.75" outlineLevel="1">
      <c r="A58" s="17" t="s">
        <v>89</v>
      </c>
      <c r="B58" s="77"/>
      <c r="C58" s="16">
        <v>111</v>
      </c>
      <c r="D58" s="28">
        <f aca="true" t="shared" si="0" ref="D58:D63">E58+F58+G58+H58</f>
        <v>38863399.85</v>
      </c>
      <c r="E58" s="28">
        <f>36153029.38+280000+76200+2544.37+50000+641491.2+842134.9</f>
        <v>38045399.85</v>
      </c>
      <c r="F58" s="42"/>
      <c r="G58" s="28"/>
      <c r="H58" s="28">
        <f>697000+121000</f>
        <v>818000</v>
      </c>
      <c r="I58" s="78"/>
    </row>
    <row r="59" spans="1:9" ht="12.75" outlineLevel="1">
      <c r="A59" s="17" t="s">
        <v>90</v>
      </c>
      <c r="B59" s="22">
        <v>32</v>
      </c>
      <c r="C59" s="16">
        <v>111</v>
      </c>
      <c r="D59" s="35">
        <f t="shared" si="0"/>
        <v>2503420.16</v>
      </c>
      <c r="E59" s="30">
        <v>2503420.16</v>
      </c>
      <c r="F59" s="44"/>
      <c r="G59" s="30"/>
      <c r="H59" s="30"/>
      <c r="I59" s="30"/>
    </row>
    <row r="60" spans="1:9" ht="25.5" outlineLevel="1">
      <c r="A60" s="17" t="s">
        <v>91</v>
      </c>
      <c r="B60" s="22">
        <v>33</v>
      </c>
      <c r="C60" s="16">
        <v>111</v>
      </c>
      <c r="D60" s="42">
        <f t="shared" si="0"/>
        <v>6890195.46</v>
      </c>
      <c r="E60" s="30">
        <v>6890195.46</v>
      </c>
      <c r="F60" s="44"/>
      <c r="G60" s="30"/>
      <c r="H60" s="30"/>
      <c r="I60" s="30"/>
    </row>
    <row r="61" spans="1:9" ht="12.75" outlineLevel="1">
      <c r="A61" s="17" t="s">
        <v>92</v>
      </c>
      <c r="B61" s="22">
        <v>34</v>
      </c>
      <c r="C61" s="16">
        <v>111</v>
      </c>
      <c r="D61" s="42">
        <f t="shared" si="0"/>
        <v>6332742.95</v>
      </c>
      <c r="E61" s="30">
        <f>6163470.66+15000+91272.29</f>
        <v>6269742.95</v>
      </c>
      <c r="F61" s="44">
        <f>47223-19448+78669.6-27721-78723.6</f>
        <v>0</v>
      </c>
      <c r="G61" s="30"/>
      <c r="H61" s="30">
        <v>63000</v>
      </c>
      <c r="I61" s="30"/>
    </row>
    <row r="62" spans="1:9" ht="25.5" outlineLevel="1">
      <c r="A62" s="17" t="s">
        <v>93</v>
      </c>
      <c r="B62" s="22">
        <v>35</v>
      </c>
      <c r="C62" s="16">
        <v>112</v>
      </c>
      <c r="D62" s="35">
        <f t="shared" si="0"/>
        <v>877381.08</v>
      </c>
      <c r="E62" s="30">
        <f>193135.95+4200-4200+1470-15000-762.32-6000+3000-3087+3087-3000-83160.68+3000+83160.68+3000+13416+1620+49113-50000+25026</f>
        <v>218018.63</v>
      </c>
      <c r="F62" s="44">
        <f>176876.3+2520+4200+762.32+453582.13-4200-378.3</f>
        <v>633362.45</v>
      </c>
      <c r="G62" s="30"/>
      <c r="H62" s="30">
        <v>26000</v>
      </c>
      <c r="I62" s="30"/>
    </row>
    <row r="63" spans="1:9" ht="51" outlineLevel="1">
      <c r="A63" s="17" t="s">
        <v>94</v>
      </c>
      <c r="B63" s="22">
        <v>36</v>
      </c>
      <c r="C63" s="16">
        <v>113</v>
      </c>
      <c r="D63" s="35">
        <f t="shared" si="0"/>
        <v>0</v>
      </c>
      <c r="E63" s="30"/>
      <c r="F63" s="44"/>
      <c r="G63" s="30"/>
      <c r="H63" s="30"/>
      <c r="I63" s="30"/>
    </row>
    <row r="64" spans="1:9" ht="12.75" outlineLevel="1">
      <c r="A64" s="72" t="s">
        <v>95</v>
      </c>
      <c r="B64" s="77">
        <v>37</v>
      </c>
      <c r="C64" s="16"/>
      <c r="D64" s="81">
        <f>SUM(E64:H66)</f>
        <v>16167472.940000001</v>
      </c>
      <c r="E64" s="78">
        <f>14822174.81+877018.18-2500+27564.22-13416-51657.37+193730.34-200600-5227.97+254324.73</f>
        <v>15901410.940000001</v>
      </c>
      <c r="F64" s="81">
        <f>14261-5873+23758.23-8371.79-23774.44</f>
        <v>0</v>
      </c>
      <c r="G64" s="78"/>
      <c r="H64" s="78">
        <f>219000+47062</f>
        <v>266062</v>
      </c>
      <c r="I64" s="78"/>
    </row>
    <row r="65" spans="1:9" ht="12.75" outlineLevel="1">
      <c r="A65" s="72"/>
      <c r="B65" s="77"/>
      <c r="C65" s="16"/>
      <c r="D65" s="81"/>
      <c r="E65" s="78"/>
      <c r="F65" s="81"/>
      <c r="G65" s="78"/>
      <c r="H65" s="78"/>
      <c r="I65" s="78"/>
    </row>
    <row r="66" spans="1:9" ht="12.75" outlineLevel="1">
      <c r="A66" s="72"/>
      <c r="B66" s="77"/>
      <c r="C66" s="16">
        <v>119</v>
      </c>
      <c r="D66" s="81"/>
      <c r="E66" s="78"/>
      <c r="F66" s="81"/>
      <c r="G66" s="78"/>
      <c r="H66" s="78"/>
      <c r="I66" s="78"/>
    </row>
    <row r="67" spans="1:9" ht="25.5" outlineLevel="1">
      <c r="A67" s="21" t="s">
        <v>96</v>
      </c>
      <c r="B67" s="22">
        <v>38</v>
      </c>
      <c r="C67" s="16">
        <v>300</v>
      </c>
      <c r="D67" s="51">
        <f>E67+F67+G67+H67</f>
        <v>0</v>
      </c>
      <c r="E67" s="51">
        <f>E68+E70+E74+E75+E76</f>
        <v>0</v>
      </c>
      <c r="F67" s="51">
        <f>F68+F70+F74+F75+F76</f>
        <v>0</v>
      </c>
      <c r="G67" s="51">
        <f>G68+G70</f>
        <v>0</v>
      </c>
      <c r="H67" s="55">
        <f>H68+H70+H74+H75+H76</f>
        <v>0</v>
      </c>
      <c r="I67" s="51"/>
    </row>
    <row r="68" spans="1:9" ht="12.75" outlineLevel="1">
      <c r="A68" s="21" t="s">
        <v>25</v>
      </c>
      <c r="B68" s="77">
        <v>39</v>
      </c>
      <c r="C68" s="86">
        <v>320</v>
      </c>
      <c r="D68" s="78">
        <f>E68+F68+G68+H68</f>
        <v>0</v>
      </c>
      <c r="E68" s="78"/>
      <c r="F68" s="78">
        <f>F71+F72+F73</f>
        <v>0</v>
      </c>
      <c r="G68" s="78"/>
      <c r="H68" s="78"/>
      <c r="I68" s="78"/>
    </row>
    <row r="69" spans="1:9" ht="38.25" outlineLevel="1">
      <c r="A69" s="21" t="s">
        <v>97</v>
      </c>
      <c r="B69" s="77"/>
      <c r="C69" s="86"/>
      <c r="D69" s="78"/>
      <c r="E69" s="78"/>
      <c r="F69" s="78"/>
      <c r="G69" s="78"/>
      <c r="H69" s="78"/>
      <c r="I69" s="78"/>
    </row>
    <row r="70" spans="1:9" ht="12.75" outlineLevel="1">
      <c r="A70" s="21" t="s">
        <v>25</v>
      </c>
      <c r="B70" s="77">
        <v>40</v>
      </c>
      <c r="C70" s="16"/>
      <c r="D70" s="46"/>
      <c r="E70" s="28"/>
      <c r="F70" s="28"/>
      <c r="G70" s="28"/>
      <c r="H70" s="28"/>
      <c r="I70" s="28"/>
    </row>
    <row r="71" spans="1:9" ht="51" outlineLevel="1">
      <c r="A71" s="21" t="s">
        <v>98</v>
      </c>
      <c r="B71" s="77"/>
      <c r="C71" s="16"/>
      <c r="D71" s="28"/>
      <c r="E71" s="28"/>
      <c r="F71" s="28"/>
      <c r="G71" s="28"/>
      <c r="H71" s="28"/>
      <c r="I71" s="28"/>
    </row>
    <row r="72" spans="1:9" ht="39.75" customHeight="1" outlineLevel="1">
      <c r="A72" s="21" t="s">
        <v>207</v>
      </c>
      <c r="B72" s="77"/>
      <c r="C72" s="16">
        <v>323</v>
      </c>
      <c r="D72" s="46"/>
      <c r="E72" s="28"/>
      <c r="F72" s="28"/>
      <c r="G72" s="28"/>
      <c r="H72" s="28"/>
      <c r="I72" s="28"/>
    </row>
    <row r="73" spans="1:9" ht="12.75" outlineLevel="1">
      <c r="A73" s="19"/>
      <c r="B73" s="77"/>
      <c r="C73" s="16">
        <v>321</v>
      </c>
      <c r="D73" s="46">
        <f>E73+F73+G73+H73</f>
        <v>0</v>
      </c>
      <c r="E73" s="28"/>
      <c r="F73" s="28"/>
      <c r="G73" s="28"/>
      <c r="H73" s="28"/>
      <c r="I73" s="28"/>
    </row>
    <row r="74" spans="1:9" ht="12.75" outlineLevel="1">
      <c r="A74" s="21" t="s">
        <v>99</v>
      </c>
      <c r="B74" s="22">
        <v>41</v>
      </c>
      <c r="C74" s="16">
        <v>340</v>
      </c>
      <c r="D74" s="35">
        <f>E74+F74+H74</f>
        <v>0</v>
      </c>
      <c r="E74" s="30"/>
      <c r="F74" s="30"/>
      <c r="G74" s="30" t="s">
        <v>57</v>
      </c>
      <c r="H74" s="30"/>
      <c r="I74" s="30"/>
    </row>
    <row r="75" spans="1:9" ht="12.75" outlineLevel="1">
      <c r="A75" s="21" t="s">
        <v>100</v>
      </c>
      <c r="B75" s="22">
        <v>42</v>
      </c>
      <c r="C75" s="16">
        <v>350</v>
      </c>
      <c r="D75" s="35">
        <f>E75+F75+H75</f>
        <v>0</v>
      </c>
      <c r="E75" s="30"/>
      <c r="F75" s="30"/>
      <c r="G75" s="30" t="s">
        <v>57</v>
      </c>
      <c r="H75" s="30"/>
      <c r="I75" s="30"/>
    </row>
    <row r="76" spans="1:9" ht="12.75" outlineLevel="1">
      <c r="A76" s="21" t="s">
        <v>101</v>
      </c>
      <c r="B76" s="22">
        <v>43</v>
      </c>
      <c r="C76" s="16">
        <v>360</v>
      </c>
      <c r="D76" s="35">
        <f>E76+F76+H76</f>
        <v>0</v>
      </c>
      <c r="E76" s="30"/>
      <c r="F76" s="30"/>
      <c r="G76" s="30" t="s">
        <v>57</v>
      </c>
      <c r="H76" s="30"/>
      <c r="I76" s="30"/>
    </row>
    <row r="77" spans="1:9" ht="12.75" outlineLevel="1">
      <c r="A77" s="21" t="s">
        <v>102</v>
      </c>
      <c r="B77" s="22">
        <v>44</v>
      </c>
      <c r="C77" s="16">
        <v>830</v>
      </c>
      <c r="D77" s="34">
        <f>E77+F77+H77</f>
        <v>0</v>
      </c>
      <c r="E77" s="34">
        <f>SUM(E78)</f>
        <v>0</v>
      </c>
      <c r="F77" s="34">
        <f>F78+F82+F83+F85+F86</f>
        <v>0</v>
      </c>
      <c r="G77" s="34" t="s">
        <v>57</v>
      </c>
      <c r="H77" s="55">
        <f>SUM(H78)</f>
        <v>0</v>
      </c>
      <c r="I77" s="34"/>
    </row>
    <row r="78" spans="1:9" ht="12.75" outlineLevel="1">
      <c r="A78" s="21" t="s">
        <v>25</v>
      </c>
      <c r="B78" s="98">
        <v>45</v>
      </c>
      <c r="C78" s="16">
        <v>831</v>
      </c>
      <c r="D78" s="84">
        <f>E78+F78+H78</f>
        <v>0</v>
      </c>
      <c r="E78" s="84"/>
      <c r="F78" s="84"/>
      <c r="G78" s="84" t="s">
        <v>57</v>
      </c>
      <c r="H78" s="84"/>
      <c r="I78" s="78"/>
    </row>
    <row r="79" spans="1:9" ht="51" outlineLevel="1">
      <c r="A79" s="21" t="s">
        <v>103</v>
      </c>
      <c r="B79" s="99"/>
      <c r="C79" s="16"/>
      <c r="D79" s="85"/>
      <c r="E79" s="85"/>
      <c r="F79" s="85"/>
      <c r="G79" s="85"/>
      <c r="H79" s="85"/>
      <c r="I79" s="78"/>
    </row>
    <row r="80" spans="1:9" ht="12.75" outlineLevel="1">
      <c r="A80" s="21" t="s">
        <v>221</v>
      </c>
      <c r="B80" s="57"/>
      <c r="C80" s="16" t="s">
        <v>222</v>
      </c>
      <c r="D80" s="28">
        <f>E80+F80+H80</f>
        <v>0</v>
      </c>
      <c r="E80" s="49"/>
      <c r="F80" s="49"/>
      <c r="G80" s="49"/>
      <c r="H80" s="49"/>
      <c r="I80" s="78"/>
    </row>
    <row r="81" spans="1:9" ht="12.75" outlineLevel="1">
      <c r="A81" s="19"/>
      <c r="B81" s="57"/>
      <c r="C81" s="16"/>
      <c r="D81" s="49"/>
      <c r="E81" s="49"/>
      <c r="F81" s="49"/>
      <c r="G81" s="49"/>
      <c r="H81" s="49"/>
      <c r="I81" s="78"/>
    </row>
    <row r="82" spans="1:9" ht="25.5" outlineLevel="1">
      <c r="A82" s="21" t="s">
        <v>104</v>
      </c>
      <c r="B82" s="22">
        <v>46</v>
      </c>
      <c r="C82" s="16">
        <v>850</v>
      </c>
      <c r="D82" s="48">
        <f>SUM(E82:H82)</f>
        <v>4232129.8</v>
      </c>
      <c r="E82" s="48">
        <f>SUM(E83:E86)</f>
        <v>4202879.8</v>
      </c>
      <c r="F82" s="48">
        <f>SUM(F83:F86)</f>
        <v>0</v>
      </c>
      <c r="G82" s="48"/>
      <c r="H82" s="55">
        <f>SUM(H83:H86)</f>
        <v>29250</v>
      </c>
      <c r="I82" s="48"/>
    </row>
    <row r="83" spans="1:9" ht="12.75" outlineLevel="1">
      <c r="A83" s="21" t="s">
        <v>25</v>
      </c>
      <c r="B83" s="77">
        <v>47</v>
      </c>
      <c r="C83" s="16"/>
      <c r="D83" s="78">
        <f>E83+F83+H83</f>
        <v>4199878</v>
      </c>
      <c r="E83" s="78">
        <f>4236124.68-36246.68</f>
        <v>4199878</v>
      </c>
      <c r="F83" s="78"/>
      <c r="G83" s="78" t="s">
        <v>57</v>
      </c>
      <c r="H83" s="78">
        <f>17000-1000-1000-15000</f>
        <v>0</v>
      </c>
      <c r="I83" s="78"/>
    </row>
    <row r="84" spans="1:9" ht="25.5" outlineLevel="1">
      <c r="A84" s="21" t="s">
        <v>105</v>
      </c>
      <c r="B84" s="77"/>
      <c r="C84" s="16">
        <v>851</v>
      </c>
      <c r="D84" s="78"/>
      <c r="E84" s="78"/>
      <c r="F84" s="78"/>
      <c r="G84" s="78"/>
      <c r="H84" s="78"/>
      <c r="I84" s="78"/>
    </row>
    <row r="85" spans="1:9" ht="12.75" outlineLevel="1">
      <c r="A85" s="21" t="s">
        <v>106</v>
      </c>
      <c r="B85" s="22">
        <v>48</v>
      </c>
      <c r="C85" s="16">
        <v>852</v>
      </c>
      <c r="D85" s="35">
        <f>E85+F85+H85</f>
        <v>17250</v>
      </c>
      <c r="E85" s="30"/>
      <c r="F85" s="30"/>
      <c r="G85" s="30" t="s">
        <v>57</v>
      </c>
      <c r="H85" s="30">
        <f>15000+2250</f>
        <v>17250</v>
      </c>
      <c r="I85" s="30"/>
    </row>
    <row r="86" spans="1:9" ht="12.75" outlineLevel="1">
      <c r="A86" s="17" t="s">
        <v>107</v>
      </c>
      <c r="B86" s="22">
        <v>49</v>
      </c>
      <c r="C86" s="16">
        <v>853</v>
      </c>
      <c r="D86" s="35">
        <f>E86+F86+H86</f>
        <v>15001.8</v>
      </c>
      <c r="E86" s="30">
        <f>3000+1.8</f>
        <v>3001.8</v>
      </c>
      <c r="F86" s="30"/>
      <c r="G86" s="30" t="s">
        <v>57</v>
      </c>
      <c r="H86" s="30">
        <f>1000+11000</f>
        <v>12000</v>
      </c>
      <c r="I86" s="30"/>
    </row>
    <row r="87" spans="1:9" ht="12.75" outlineLevel="1">
      <c r="A87" s="76" t="s">
        <v>108</v>
      </c>
      <c r="B87" s="77">
        <v>50</v>
      </c>
      <c r="C87" s="16"/>
      <c r="D87" s="83">
        <f>SUM(E87:H88)</f>
        <v>0</v>
      </c>
      <c r="E87" s="83">
        <f>E89+E92</f>
        <v>0</v>
      </c>
      <c r="F87" s="83">
        <f>F89+F92</f>
        <v>0</v>
      </c>
      <c r="G87" s="83">
        <f>G89+G92</f>
        <v>0</v>
      </c>
      <c r="H87" s="83">
        <f>H89+H92</f>
        <v>0</v>
      </c>
      <c r="I87" s="83"/>
    </row>
    <row r="88" spans="1:9" ht="12.75" outlineLevel="1">
      <c r="A88" s="76"/>
      <c r="B88" s="77"/>
      <c r="C88" s="16">
        <v>400</v>
      </c>
      <c r="D88" s="83"/>
      <c r="E88" s="83"/>
      <c r="F88" s="83"/>
      <c r="G88" s="83"/>
      <c r="H88" s="83"/>
      <c r="I88" s="83"/>
    </row>
    <row r="89" spans="1:9" ht="12.75" outlineLevel="1">
      <c r="A89" s="21" t="s">
        <v>25</v>
      </c>
      <c r="B89" s="77">
        <v>51</v>
      </c>
      <c r="C89" s="16"/>
      <c r="D89" s="78">
        <f>SUM(E89:H91)</f>
        <v>0</v>
      </c>
      <c r="E89" s="78"/>
      <c r="F89" s="78"/>
      <c r="G89" s="78"/>
      <c r="H89" s="78"/>
      <c r="I89" s="78"/>
    </row>
    <row r="90" spans="1:9" ht="38.25" outlineLevel="1">
      <c r="A90" s="21" t="s">
        <v>109</v>
      </c>
      <c r="B90" s="77"/>
      <c r="C90" s="16"/>
      <c r="D90" s="78"/>
      <c r="E90" s="78"/>
      <c r="F90" s="78"/>
      <c r="G90" s="78"/>
      <c r="H90" s="78"/>
      <c r="I90" s="78"/>
    </row>
    <row r="91" spans="1:9" ht="12.75" outlineLevel="1">
      <c r="A91" s="21"/>
      <c r="B91" s="77"/>
      <c r="C91" s="16">
        <v>416</v>
      </c>
      <c r="D91" s="78"/>
      <c r="E91" s="78"/>
      <c r="F91" s="78"/>
      <c r="G91" s="78"/>
      <c r="H91" s="78"/>
      <c r="I91" s="78"/>
    </row>
    <row r="92" spans="1:9" ht="12.75" outlineLevel="1">
      <c r="A92" s="72" t="s">
        <v>110</v>
      </c>
      <c r="B92" s="77">
        <v>52</v>
      </c>
      <c r="C92" s="16"/>
      <c r="D92" s="78">
        <f>SUM(E92:H93)</f>
        <v>0</v>
      </c>
      <c r="E92" s="78"/>
      <c r="F92" s="78"/>
      <c r="G92" s="78"/>
      <c r="H92" s="78"/>
      <c r="I92" s="78"/>
    </row>
    <row r="93" spans="1:9" ht="12.75" outlineLevel="1">
      <c r="A93" s="72"/>
      <c r="B93" s="77"/>
      <c r="C93" s="16">
        <v>417</v>
      </c>
      <c r="D93" s="78"/>
      <c r="E93" s="78"/>
      <c r="F93" s="78"/>
      <c r="G93" s="78"/>
      <c r="H93" s="78"/>
      <c r="I93" s="78"/>
    </row>
    <row r="94" spans="1:9" ht="12.75" outlineLevel="1">
      <c r="A94" s="21" t="s">
        <v>111</v>
      </c>
      <c r="B94" s="22">
        <v>53</v>
      </c>
      <c r="C94" s="16">
        <v>200</v>
      </c>
      <c r="D94" s="43">
        <f>SUM(E94:H94)</f>
        <v>37300480.53</v>
      </c>
      <c r="E94" s="43">
        <f>E99</f>
        <v>10256930.23</v>
      </c>
      <c r="F94" s="43">
        <f>F99+F98</f>
        <v>25721846.33</v>
      </c>
      <c r="G94" s="43">
        <f>G99</f>
        <v>0</v>
      </c>
      <c r="H94" s="55">
        <f>H99</f>
        <v>1321703.97</v>
      </c>
      <c r="I94" s="34"/>
    </row>
    <row r="95" spans="1:9" ht="12.75" outlineLevel="1">
      <c r="A95" s="21" t="s">
        <v>25</v>
      </c>
      <c r="B95" s="77">
        <v>54</v>
      </c>
      <c r="C95" s="16"/>
      <c r="D95" s="78">
        <f>SUM(E95:H97)</f>
        <v>0</v>
      </c>
      <c r="E95" s="78"/>
      <c r="F95" s="78"/>
      <c r="G95" s="78"/>
      <c r="H95" s="78"/>
      <c r="I95" s="78"/>
    </row>
    <row r="96" spans="1:9" ht="25.5" outlineLevel="1">
      <c r="A96" s="21" t="s">
        <v>112</v>
      </c>
      <c r="B96" s="77"/>
      <c r="C96" s="16"/>
      <c r="D96" s="78"/>
      <c r="E96" s="78"/>
      <c r="F96" s="78"/>
      <c r="G96" s="78"/>
      <c r="H96" s="78"/>
      <c r="I96" s="78"/>
    </row>
    <row r="97" spans="1:9" ht="12.75" outlineLevel="1">
      <c r="A97" s="19"/>
      <c r="B97" s="77"/>
      <c r="C97" s="16">
        <v>243</v>
      </c>
      <c r="D97" s="78"/>
      <c r="E97" s="78"/>
      <c r="F97" s="78"/>
      <c r="G97" s="78"/>
      <c r="H97" s="78"/>
      <c r="I97" s="78"/>
    </row>
    <row r="98" spans="1:9" ht="12.75" outlineLevel="1">
      <c r="A98" s="76" t="s">
        <v>113</v>
      </c>
      <c r="B98" s="77">
        <v>55</v>
      </c>
      <c r="C98" s="16">
        <v>323</v>
      </c>
      <c r="D98" s="96">
        <f>SUM(E99:H99)+F98</f>
        <v>37300480.53</v>
      </c>
      <c r="E98" s="45"/>
      <c r="F98" s="39">
        <f>874144-26217.13-30323.97-67018-141044.9+17768</f>
        <v>627308</v>
      </c>
      <c r="G98" s="39">
        <f>SUM(G100:G111)</f>
        <v>0</v>
      </c>
      <c r="H98" s="39"/>
      <c r="I98" s="83"/>
    </row>
    <row r="99" spans="1:9" ht="12.75" outlineLevel="1">
      <c r="A99" s="76"/>
      <c r="B99" s="77"/>
      <c r="C99" s="16">
        <v>244</v>
      </c>
      <c r="D99" s="97"/>
      <c r="E99" s="45">
        <f>SUM(E100:E110)</f>
        <v>10256930.23</v>
      </c>
      <c r="F99" s="45">
        <f>SUM(F100:F110)</f>
        <v>25094538.33</v>
      </c>
      <c r="G99" s="45">
        <f>SUM(G100:G110)</f>
        <v>0</v>
      </c>
      <c r="H99" s="45">
        <f>SUM(H100:H110)</f>
        <v>1321703.97</v>
      </c>
      <c r="I99" s="83"/>
    </row>
    <row r="100" spans="1:9" ht="12.75" outlineLevel="1">
      <c r="A100" s="21" t="s">
        <v>25</v>
      </c>
      <c r="B100" s="77">
        <v>56</v>
      </c>
      <c r="C100" s="16"/>
      <c r="D100" s="82">
        <f>E100+F100+H100</f>
        <v>180000</v>
      </c>
      <c r="E100" s="82">
        <v>180000</v>
      </c>
      <c r="F100" s="78"/>
      <c r="G100" s="78" t="s">
        <v>57</v>
      </c>
      <c r="H100" s="78"/>
      <c r="I100" s="78"/>
    </row>
    <row r="101" spans="1:9" ht="12.75" outlineLevel="1">
      <c r="A101" s="21" t="s">
        <v>114</v>
      </c>
      <c r="B101" s="77"/>
      <c r="C101" s="16">
        <v>244</v>
      </c>
      <c r="D101" s="82"/>
      <c r="E101" s="82"/>
      <c r="F101" s="78"/>
      <c r="G101" s="78"/>
      <c r="H101" s="78"/>
      <c r="I101" s="78"/>
    </row>
    <row r="102" spans="1:9" ht="12.75" outlineLevel="1">
      <c r="A102" s="21" t="s">
        <v>115</v>
      </c>
      <c r="B102" s="22">
        <v>57</v>
      </c>
      <c r="C102" s="16">
        <v>244</v>
      </c>
      <c r="D102" s="30">
        <f>SUM(E102:H102)</f>
        <v>8800</v>
      </c>
      <c r="E102" s="30"/>
      <c r="F102" s="30">
        <v>8800</v>
      </c>
      <c r="G102" s="30"/>
      <c r="H102" s="30">
        <f>14200-1700-12500</f>
        <v>0</v>
      </c>
      <c r="I102" s="30"/>
    </row>
    <row r="103" spans="1:9" ht="12.75" outlineLevel="1">
      <c r="A103" s="21" t="s">
        <v>116</v>
      </c>
      <c r="B103" s="22">
        <v>58</v>
      </c>
      <c r="C103" s="16">
        <v>244</v>
      </c>
      <c r="D103" s="30">
        <f>SUM(E103:H103)</f>
        <v>5253986.300000001</v>
      </c>
      <c r="E103" s="30">
        <f>5316119.57-130649.58-21099.26</f>
        <v>5164370.73</v>
      </c>
      <c r="F103" s="30"/>
      <c r="G103" s="30"/>
      <c r="H103" s="30">
        <v>89615.57</v>
      </c>
      <c r="I103" s="30"/>
    </row>
    <row r="104" spans="1:9" ht="25.5" outlineLevel="1">
      <c r="A104" s="21" t="s">
        <v>117</v>
      </c>
      <c r="B104" s="22">
        <v>59</v>
      </c>
      <c r="C104" s="16">
        <v>244</v>
      </c>
      <c r="D104" s="30">
        <f>E104+F104+H104</f>
        <v>0</v>
      </c>
      <c r="E104" s="30"/>
      <c r="F104" s="30"/>
      <c r="G104" s="30" t="s">
        <v>57</v>
      </c>
      <c r="H104" s="30"/>
      <c r="I104" s="30"/>
    </row>
    <row r="105" spans="1:9" ht="25.5" outlineLevel="1">
      <c r="A105" s="21" t="s">
        <v>118</v>
      </c>
      <c r="B105" s="22">
        <v>60</v>
      </c>
      <c r="C105" s="16">
        <v>244</v>
      </c>
      <c r="D105" s="30">
        <f>SUM(E105:H105)</f>
        <v>22503996.929999996</v>
      </c>
      <c r="E105" s="30">
        <f>96242.23+700000-338553.8-200000</f>
        <v>257688.43</v>
      </c>
      <c r="F105" s="30">
        <f>17605883.96+1935914.65-422000+7512537-820000+394611.5-2462800-48000+2940-279000-65054.85-1413723.76+229000</f>
        <v>22170308.499999996</v>
      </c>
      <c r="G105" s="30"/>
      <c r="H105" s="30">
        <v>76000</v>
      </c>
      <c r="I105" s="30"/>
    </row>
    <row r="106" spans="1:9" ht="12.75" outlineLevel="1">
      <c r="A106" s="21" t="s">
        <v>119</v>
      </c>
      <c r="B106" s="22">
        <v>61</v>
      </c>
      <c r="C106" s="16">
        <v>244</v>
      </c>
      <c r="D106" s="30">
        <f>SUM(E106:H106)</f>
        <v>2410218.27</v>
      </c>
      <c r="E106" s="30">
        <f>885488.92+100000-3000+3000+83160.68-3000-83160.68-1620-29289.6-25600-25026-171000-98744</f>
        <v>631209.3200000002</v>
      </c>
      <c r="F106" s="30">
        <f>1101376-207538.75+100000+17000+136000+56661.6+2330+1434+247424+48000-11740+279000-132885.42-96221.85+16080.97-229000</f>
        <v>1327920.55</v>
      </c>
      <c r="G106" s="30"/>
      <c r="H106" s="30">
        <f>520000-56661.6-10000-2250</f>
        <v>451088.4</v>
      </c>
      <c r="I106" s="30"/>
    </row>
    <row r="107" spans="1:9" ht="25.5" outlineLevel="1">
      <c r="A107" s="21" t="s">
        <v>120</v>
      </c>
      <c r="B107" s="22">
        <v>62</v>
      </c>
      <c r="C107" s="16">
        <v>244</v>
      </c>
      <c r="D107" s="30">
        <f>SUM(E107:H107)</f>
        <v>5046991.459999999</v>
      </c>
      <c r="E107" s="30">
        <f>1925024+500000+380440-65000-10000-35000-100000-16125+607244.88+378.3</f>
        <v>3186962.1799999997</v>
      </c>
      <c r="F107" s="30">
        <f>18700-4200-1434+99999.94+514770+833333.34-2480+116340</f>
        <v>1575029.2799999998</v>
      </c>
      <c r="G107" s="30"/>
      <c r="H107" s="30">
        <v>285000</v>
      </c>
      <c r="I107" s="30"/>
    </row>
    <row r="108" spans="1:9" ht="12.75" outlineLevel="1">
      <c r="A108" s="76" t="s">
        <v>121</v>
      </c>
      <c r="B108" s="77">
        <v>63</v>
      </c>
      <c r="C108" s="16"/>
      <c r="D108" s="78">
        <f>E108+F108+H108</f>
        <v>0</v>
      </c>
      <c r="E108" s="78"/>
      <c r="F108" s="78"/>
      <c r="G108" s="78" t="s">
        <v>57</v>
      </c>
      <c r="H108" s="78"/>
      <c r="I108" s="78"/>
    </row>
    <row r="109" spans="1:9" ht="12.75" outlineLevel="1">
      <c r="A109" s="76"/>
      <c r="B109" s="77"/>
      <c r="C109" s="16">
        <v>244</v>
      </c>
      <c r="D109" s="78"/>
      <c r="E109" s="78"/>
      <c r="F109" s="78"/>
      <c r="G109" s="78"/>
      <c r="H109" s="78"/>
      <c r="I109" s="78"/>
    </row>
    <row r="110" spans="1:9" ht="25.5" outlineLevel="1">
      <c r="A110" s="17" t="s">
        <v>122</v>
      </c>
      <c r="B110" s="22">
        <v>64</v>
      </c>
      <c r="C110" s="16">
        <v>244</v>
      </c>
      <c r="D110" s="30">
        <f>SUM(E110:H110)</f>
        <v>1269179.5699999998</v>
      </c>
      <c r="E110" s="30">
        <f>110059.2+65000+10000+2500+35000+100000+29289.6+338553.8+16125+25600+5227.97+600+98744</f>
        <v>836699.57</v>
      </c>
      <c r="F110" s="30">
        <f>10000+2480</f>
        <v>12480</v>
      </c>
      <c r="G110" s="30"/>
      <c r="H110" s="30">
        <v>420000</v>
      </c>
      <c r="I110" s="30"/>
    </row>
    <row r="111" spans="1:9" ht="12.75" outlineLevel="1">
      <c r="A111" s="17" t="s">
        <v>123</v>
      </c>
      <c r="B111" s="22">
        <v>65</v>
      </c>
      <c r="C111" s="16" t="s">
        <v>57</v>
      </c>
      <c r="D111" s="30">
        <f>SUM(E111:H111)</f>
        <v>0</v>
      </c>
      <c r="E111" s="30"/>
      <c r="F111" s="30"/>
      <c r="G111" s="30"/>
      <c r="H111" s="30"/>
      <c r="I111" s="30"/>
    </row>
    <row r="112" spans="1:9" ht="12.75" outlineLevel="1">
      <c r="A112" s="17" t="s">
        <v>124</v>
      </c>
      <c r="B112" s="22">
        <v>66</v>
      </c>
      <c r="C112" s="16" t="s">
        <v>57</v>
      </c>
      <c r="D112" s="30">
        <f>SUM(E112:H112)</f>
        <v>0</v>
      </c>
      <c r="E112" s="30">
        <f>E16+E11-E52</f>
        <v>0</v>
      </c>
      <c r="F112" s="30">
        <f>F16+F11-F52</f>
        <v>0</v>
      </c>
      <c r="G112" s="30">
        <f>G16+G11-G52</f>
        <v>0</v>
      </c>
      <c r="H112" s="30">
        <f>H16+H11-H52</f>
        <v>0</v>
      </c>
      <c r="I112" s="30"/>
    </row>
    <row r="113" ht="12.75">
      <c r="A113" s="3"/>
    </row>
    <row r="114" spans="1:9" ht="12.75">
      <c r="A114" s="71" t="s">
        <v>225</v>
      </c>
      <c r="B114" s="71"/>
      <c r="C114" s="71"/>
      <c r="D114" s="71"/>
      <c r="E114" s="71"/>
      <c r="F114" s="71"/>
      <c r="G114" s="71"/>
      <c r="H114" s="71"/>
      <c r="I114" s="71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91" t="s">
        <v>212</v>
      </c>
      <c r="B116" s="91"/>
      <c r="C116" s="91"/>
      <c r="D116" s="91"/>
      <c r="E116" s="91"/>
      <c r="F116" s="91"/>
      <c r="G116" s="91"/>
      <c r="H116" s="91"/>
      <c r="I116" s="91"/>
    </row>
    <row r="117" spans="1:9" ht="12.75">
      <c r="A117" s="89" t="s">
        <v>22</v>
      </c>
      <c r="B117" s="18" t="s">
        <v>46</v>
      </c>
      <c r="C117" s="92" t="s">
        <v>48</v>
      </c>
      <c r="D117" s="89" t="s">
        <v>49</v>
      </c>
      <c r="E117" s="89"/>
      <c r="F117" s="89"/>
      <c r="G117" s="89"/>
      <c r="H117" s="89"/>
      <c r="I117" s="89"/>
    </row>
    <row r="118" spans="1:9" ht="12.75">
      <c r="A118" s="89"/>
      <c r="B118" s="18" t="s">
        <v>47</v>
      </c>
      <c r="C118" s="92"/>
      <c r="D118" s="89" t="s">
        <v>50</v>
      </c>
      <c r="E118" s="86" t="s">
        <v>42</v>
      </c>
      <c r="F118" s="86"/>
      <c r="G118" s="86"/>
      <c r="H118" s="86"/>
      <c r="I118" s="86"/>
    </row>
    <row r="119" spans="1:9" ht="12.75">
      <c r="A119" s="89"/>
      <c r="B119" s="19"/>
      <c r="C119" s="92"/>
      <c r="D119" s="89"/>
      <c r="E119" s="86" t="s">
        <v>51</v>
      </c>
      <c r="F119" s="86" t="s">
        <v>52</v>
      </c>
      <c r="G119" s="86" t="s">
        <v>53</v>
      </c>
      <c r="H119" s="86" t="s">
        <v>54</v>
      </c>
      <c r="I119" s="86"/>
    </row>
    <row r="120" spans="1:9" ht="12.75">
      <c r="A120" s="89"/>
      <c r="B120" s="19"/>
      <c r="C120" s="92"/>
      <c r="D120" s="89"/>
      <c r="E120" s="86"/>
      <c r="F120" s="86"/>
      <c r="G120" s="86"/>
      <c r="H120" s="16" t="s">
        <v>50</v>
      </c>
      <c r="I120" s="16" t="s">
        <v>55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72" t="s">
        <v>56</v>
      </c>
      <c r="B122" s="87">
        <v>1</v>
      </c>
      <c r="C122" s="20"/>
      <c r="D122" s="88"/>
      <c r="E122" s="88"/>
      <c r="F122" s="88"/>
      <c r="G122" s="88"/>
      <c r="H122" s="88"/>
      <c r="I122" s="88"/>
    </row>
    <row r="123" spans="1:9" ht="12.75">
      <c r="A123" s="72"/>
      <c r="B123" s="87"/>
      <c r="C123" s="20" t="s">
        <v>57</v>
      </c>
      <c r="D123" s="88"/>
      <c r="E123" s="88"/>
      <c r="F123" s="88"/>
      <c r="G123" s="88"/>
      <c r="H123" s="88"/>
      <c r="I123" s="88"/>
    </row>
    <row r="124" spans="1:9" ht="38.25">
      <c r="A124" s="17" t="s">
        <v>58</v>
      </c>
      <c r="B124" s="20">
        <v>2</v>
      </c>
      <c r="C124" s="20">
        <v>180</v>
      </c>
      <c r="D124" s="29"/>
      <c r="E124" s="29" t="s">
        <v>57</v>
      </c>
      <c r="F124" s="29"/>
      <c r="G124" s="29"/>
      <c r="H124" s="20" t="s">
        <v>57</v>
      </c>
      <c r="I124" s="20" t="s">
        <v>57</v>
      </c>
    </row>
    <row r="125" spans="1:9" ht="12.75">
      <c r="A125" s="72" t="s">
        <v>59</v>
      </c>
      <c r="B125" s="87">
        <v>3</v>
      </c>
      <c r="C125" s="20"/>
      <c r="D125" s="82"/>
      <c r="E125" s="82"/>
      <c r="F125" s="82" t="s">
        <v>57</v>
      </c>
      <c r="G125" s="82" t="s">
        <v>57</v>
      </c>
      <c r="H125" s="87" t="s">
        <v>57</v>
      </c>
      <c r="I125" s="87" t="s">
        <v>57</v>
      </c>
    </row>
    <row r="126" spans="1:9" ht="12.75">
      <c r="A126" s="72"/>
      <c r="B126" s="87"/>
      <c r="C126" s="20">
        <v>130</v>
      </c>
      <c r="D126" s="82"/>
      <c r="E126" s="82"/>
      <c r="F126" s="82"/>
      <c r="G126" s="82"/>
      <c r="H126" s="87"/>
      <c r="I126" s="87"/>
    </row>
    <row r="127" spans="1:9" ht="12.75">
      <c r="A127" s="90" t="s">
        <v>60</v>
      </c>
      <c r="B127" s="87">
        <v>4</v>
      </c>
      <c r="C127" s="20"/>
      <c r="D127" s="88">
        <f>E127+F127+G127+H127</f>
        <v>91451468.93999998</v>
      </c>
      <c r="E127" s="88">
        <f>79912518.82+4200+5074163-4200</f>
        <v>84986681.82</v>
      </c>
      <c r="F127" s="88">
        <f>F153</f>
        <v>4052171.55</v>
      </c>
      <c r="G127" s="88"/>
      <c r="H127" s="88">
        <f>H131+H134+H162+H152</f>
        <v>2412615.57</v>
      </c>
      <c r="I127" s="87"/>
    </row>
    <row r="128" spans="1:9" ht="12.75">
      <c r="A128" s="90"/>
      <c r="B128" s="87"/>
      <c r="C128" s="20" t="s">
        <v>57</v>
      </c>
      <c r="D128" s="88"/>
      <c r="E128" s="88"/>
      <c r="F128" s="88"/>
      <c r="G128" s="88"/>
      <c r="H128" s="88"/>
      <c r="I128" s="87"/>
    </row>
    <row r="129" spans="1:9" ht="12.75" outlineLevel="1">
      <c r="A129" s="17" t="s">
        <v>42</v>
      </c>
      <c r="B129" s="87">
        <v>5</v>
      </c>
      <c r="C129" s="20"/>
      <c r="D129" s="82">
        <f>H129</f>
        <v>477947.2</v>
      </c>
      <c r="E129" s="82" t="s">
        <v>57</v>
      </c>
      <c r="F129" s="82" t="s">
        <v>57</v>
      </c>
      <c r="G129" s="82" t="s">
        <v>57</v>
      </c>
      <c r="H129" s="82">
        <f>H131</f>
        <v>477947.2</v>
      </c>
      <c r="I129" s="82" t="s">
        <v>57</v>
      </c>
    </row>
    <row r="130" spans="1:9" ht="12.75" outlineLevel="1">
      <c r="A130" s="17" t="s">
        <v>61</v>
      </c>
      <c r="B130" s="87"/>
      <c r="C130" s="20">
        <v>120</v>
      </c>
      <c r="D130" s="82"/>
      <c r="E130" s="82"/>
      <c r="F130" s="82"/>
      <c r="G130" s="82"/>
      <c r="H130" s="82"/>
      <c r="I130" s="82"/>
    </row>
    <row r="131" spans="1:9" ht="12.75" outlineLevel="1">
      <c r="A131" s="21" t="s">
        <v>25</v>
      </c>
      <c r="B131" s="87">
        <v>6</v>
      </c>
      <c r="C131" s="87">
        <v>120</v>
      </c>
      <c r="D131" s="82">
        <f>H131</f>
        <v>477947.2</v>
      </c>
      <c r="E131" s="82" t="s">
        <v>57</v>
      </c>
      <c r="F131" s="82" t="s">
        <v>57</v>
      </c>
      <c r="G131" s="82" t="s">
        <v>57</v>
      </c>
      <c r="H131" s="82">
        <v>477947.2</v>
      </c>
      <c r="I131" s="82" t="s">
        <v>57</v>
      </c>
    </row>
    <row r="132" spans="1:9" ht="38.25" outlineLevel="1">
      <c r="A132" s="21" t="s">
        <v>62</v>
      </c>
      <c r="B132" s="87"/>
      <c r="C132" s="87"/>
      <c r="D132" s="82"/>
      <c r="E132" s="82"/>
      <c r="F132" s="82"/>
      <c r="G132" s="82"/>
      <c r="H132" s="82"/>
      <c r="I132" s="82"/>
    </row>
    <row r="133" spans="1:9" ht="25.5" outlineLevel="1">
      <c r="A133" s="21" t="s">
        <v>63</v>
      </c>
      <c r="B133" s="20">
        <v>7</v>
      </c>
      <c r="C133" s="20">
        <v>120</v>
      </c>
      <c r="D133" s="29"/>
      <c r="E133" s="29" t="s">
        <v>57</v>
      </c>
      <c r="F133" s="29" t="s">
        <v>57</v>
      </c>
      <c r="G133" s="29" t="s">
        <v>57</v>
      </c>
      <c r="H133" s="29"/>
      <c r="I133" s="29" t="s">
        <v>57</v>
      </c>
    </row>
    <row r="134" spans="1:9" ht="12.75" outlineLevel="1">
      <c r="A134" s="17" t="s">
        <v>64</v>
      </c>
      <c r="B134" s="20">
        <v>8</v>
      </c>
      <c r="C134" s="20">
        <v>130</v>
      </c>
      <c r="D134" s="29">
        <f>H134</f>
        <v>1934668.3699999999</v>
      </c>
      <c r="E134" s="29"/>
      <c r="F134" s="29" t="s">
        <v>57</v>
      </c>
      <c r="G134" s="29" t="s">
        <v>57</v>
      </c>
      <c r="H134" s="29">
        <f>SUM(H135:H151)</f>
        <v>1934668.3699999999</v>
      </c>
      <c r="I134" s="29"/>
    </row>
    <row r="135" spans="1:9" ht="12.75" outlineLevel="1">
      <c r="A135" s="21" t="s">
        <v>65</v>
      </c>
      <c r="B135" s="86">
        <v>9</v>
      </c>
      <c r="C135" s="86">
        <v>130</v>
      </c>
      <c r="D135" s="78"/>
      <c r="E135" s="78" t="s">
        <v>57</v>
      </c>
      <c r="F135" s="78" t="s">
        <v>57</v>
      </c>
      <c r="G135" s="78" t="s">
        <v>57</v>
      </c>
      <c r="H135" s="78"/>
      <c r="I135" s="78"/>
    </row>
    <row r="136" spans="1:9" ht="25.5" outlineLevel="1">
      <c r="A136" s="21" t="s">
        <v>66</v>
      </c>
      <c r="B136" s="86"/>
      <c r="C136" s="86"/>
      <c r="D136" s="78"/>
      <c r="E136" s="78"/>
      <c r="F136" s="78"/>
      <c r="G136" s="78"/>
      <c r="H136" s="78"/>
      <c r="I136" s="78"/>
    </row>
    <row r="137" spans="1:9" ht="12.75" outlineLevel="1">
      <c r="A137" s="17" t="s">
        <v>42</v>
      </c>
      <c r="B137" s="86">
        <v>10</v>
      </c>
      <c r="C137" s="86">
        <v>130</v>
      </c>
      <c r="D137" s="78"/>
      <c r="E137" s="78" t="s">
        <v>57</v>
      </c>
      <c r="F137" s="78" t="s">
        <v>57</v>
      </c>
      <c r="G137" s="78" t="s">
        <v>57</v>
      </c>
      <c r="H137" s="78"/>
      <c r="I137" s="78"/>
    </row>
    <row r="138" spans="1:9" ht="12.75" outlineLevel="1">
      <c r="A138" s="17" t="s">
        <v>67</v>
      </c>
      <c r="B138" s="86"/>
      <c r="C138" s="86"/>
      <c r="D138" s="78"/>
      <c r="E138" s="78"/>
      <c r="F138" s="78"/>
      <c r="G138" s="78"/>
      <c r="H138" s="78"/>
      <c r="I138" s="78"/>
    </row>
    <row r="139" spans="1:9" ht="12.75" outlineLevel="1">
      <c r="A139" s="17" t="s">
        <v>42</v>
      </c>
      <c r="B139" s="86">
        <v>11</v>
      </c>
      <c r="C139" s="86">
        <v>130</v>
      </c>
      <c r="D139" s="78"/>
      <c r="E139" s="78" t="s">
        <v>57</v>
      </c>
      <c r="F139" s="78" t="s">
        <v>57</v>
      </c>
      <c r="G139" s="78" t="s">
        <v>57</v>
      </c>
      <c r="H139" s="78"/>
      <c r="I139" s="78"/>
    </row>
    <row r="140" spans="1:9" ht="12.75" outlineLevel="1">
      <c r="A140" s="17" t="s">
        <v>68</v>
      </c>
      <c r="B140" s="86"/>
      <c r="C140" s="86"/>
      <c r="D140" s="78"/>
      <c r="E140" s="78"/>
      <c r="F140" s="78"/>
      <c r="G140" s="78"/>
      <c r="H140" s="78"/>
      <c r="I140" s="78"/>
    </row>
    <row r="141" spans="1:9" ht="12.75" outlineLevel="1">
      <c r="A141" s="17" t="s">
        <v>69</v>
      </c>
      <c r="B141" s="86"/>
      <c r="C141" s="86"/>
      <c r="D141" s="78"/>
      <c r="E141" s="78"/>
      <c r="F141" s="78"/>
      <c r="G141" s="78"/>
      <c r="H141" s="78"/>
      <c r="I141" s="78"/>
    </row>
    <row r="142" spans="1:9" ht="12.75" outlineLevel="1">
      <c r="A142" s="17" t="s">
        <v>42</v>
      </c>
      <c r="B142" s="86">
        <v>12</v>
      </c>
      <c r="C142" s="86">
        <v>130</v>
      </c>
      <c r="D142" s="78">
        <f>H142</f>
        <v>1713633.96</v>
      </c>
      <c r="E142" s="78" t="s">
        <v>57</v>
      </c>
      <c r="F142" s="78" t="s">
        <v>57</v>
      </c>
      <c r="G142" s="78" t="s">
        <v>57</v>
      </c>
      <c r="H142" s="82">
        <f>1686290.77+27343.19</f>
        <v>1713633.96</v>
      </c>
      <c r="I142" s="78"/>
    </row>
    <row r="143" spans="1:9" ht="25.5" outlineLevel="1">
      <c r="A143" s="17" t="s">
        <v>70</v>
      </c>
      <c r="B143" s="86"/>
      <c r="C143" s="86"/>
      <c r="D143" s="78"/>
      <c r="E143" s="78"/>
      <c r="F143" s="78"/>
      <c r="G143" s="78"/>
      <c r="H143" s="82"/>
      <c r="I143" s="78"/>
    </row>
    <row r="144" spans="1:9" ht="38.25" outlineLevel="1">
      <c r="A144" s="17" t="s">
        <v>71</v>
      </c>
      <c r="B144" s="16">
        <v>13</v>
      </c>
      <c r="C144" s="16">
        <v>130</v>
      </c>
      <c r="D144" s="30"/>
      <c r="E144" s="30" t="s">
        <v>57</v>
      </c>
      <c r="F144" s="30" t="s">
        <v>57</v>
      </c>
      <c r="G144" s="30" t="s">
        <v>57</v>
      </c>
      <c r="H144" s="30"/>
      <c r="I144" s="30"/>
    </row>
    <row r="145" spans="1:9" ht="38.25" outlineLevel="1">
      <c r="A145" s="17" t="s">
        <v>72</v>
      </c>
      <c r="B145" s="16">
        <v>14</v>
      </c>
      <c r="C145" s="16">
        <v>130</v>
      </c>
      <c r="D145" s="30"/>
      <c r="E145" s="30" t="s">
        <v>57</v>
      </c>
      <c r="F145" s="30" t="s">
        <v>57</v>
      </c>
      <c r="G145" s="30" t="s">
        <v>57</v>
      </c>
      <c r="H145" s="30"/>
      <c r="I145" s="30"/>
    </row>
    <row r="146" spans="1:9" ht="25.5" outlineLevel="1">
      <c r="A146" s="17" t="s">
        <v>73</v>
      </c>
      <c r="B146" s="16">
        <v>15</v>
      </c>
      <c r="C146" s="16">
        <v>130</v>
      </c>
      <c r="D146" s="30"/>
      <c r="E146" s="30" t="s">
        <v>57</v>
      </c>
      <c r="F146" s="30" t="s">
        <v>57</v>
      </c>
      <c r="G146" s="30" t="s">
        <v>57</v>
      </c>
      <c r="H146" s="30"/>
      <c r="I146" s="30"/>
    </row>
    <row r="147" spans="1:9" ht="25.5" outlineLevel="1">
      <c r="A147" s="17" t="s">
        <v>74</v>
      </c>
      <c r="B147" s="16">
        <v>16</v>
      </c>
      <c r="C147" s="16">
        <v>130</v>
      </c>
      <c r="D147" s="30"/>
      <c r="E147" s="30" t="s">
        <v>57</v>
      </c>
      <c r="F147" s="30" t="s">
        <v>57</v>
      </c>
      <c r="G147" s="30" t="s">
        <v>57</v>
      </c>
      <c r="H147" s="30"/>
      <c r="I147" s="30"/>
    </row>
    <row r="148" spans="1:9" ht="12.75" outlineLevel="1">
      <c r="A148" s="17" t="s">
        <v>42</v>
      </c>
      <c r="B148" s="86">
        <v>17</v>
      </c>
      <c r="C148" s="86">
        <v>130</v>
      </c>
      <c r="D148" s="78"/>
      <c r="E148" s="78" t="s">
        <v>57</v>
      </c>
      <c r="F148" s="78" t="s">
        <v>57</v>
      </c>
      <c r="G148" s="78" t="s">
        <v>57</v>
      </c>
      <c r="H148" s="78"/>
      <c r="I148" s="78"/>
    </row>
    <row r="149" spans="1:9" ht="25.5" outlineLevel="1">
      <c r="A149" s="17" t="s">
        <v>75</v>
      </c>
      <c r="B149" s="86"/>
      <c r="C149" s="86"/>
      <c r="D149" s="78"/>
      <c r="E149" s="78"/>
      <c r="F149" s="78"/>
      <c r="G149" s="78"/>
      <c r="H149" s="78"/>
      <c r="I149" s="78"/>
    </row>
    <row r="150" spans="1:9" ht="25.5" outlineLevel="1">
      <c r="A150" s="17" t="s">
        <v>76</v>
      </c>
      <c r="B150" s="16">
        <v>18</v>
      </c>
      <c r="C150" s="16">
        <v>130</v>
      </c>
      <c r="D150" s="30"/>
      <c r="E150" s="30" t="s">
        <v>57</v>
      </c>
      <c r="F150" s="30" t="s">
        <v>57</v>
      </c>
      <c r="G150" s="30" t="s">
        <v>57</v>
      </c>
      <c r="H150" s="30"/>
      <c r="I150" s="30"/>
    </row>
    <row r="151" spans="1:9" ht="12.75" outlineLevel="1">
      <c r="A151" s="17" t="s">
        <v>77</v>
      </c>
      <c r="B151" s="16">
        <v>19</v>
      </c>
      <c r="C151" s="16">
        <v>130</v>
      </c>
      <c r="D151" s="30">
        <f>H151</f>
        <v>221034.41</v>
      </c>
      <c r="E151" s="30" t="s">
        <v>57</v>
      </c>
      <c r="F151" s="30" t="s">
        <v>57</v>
      </c>
      <c r="G151" s="30" t="s">
        <v>57</v>
      </c>
      <c r="H151" s="30">
        <f>89615.57+131418.84</f>
        <v>221034.41</v>
      </c>
      <c r="I151" s="30"/>
    </row>
    <row r="152" spans="1:9" ht="25.5" outlineLevel="1">
      <c r="A152" s="17" t="s">
        <v>78</v>
      </c>
      <c r="B152" s="16">
        <v>20</v>
      </c>
      <c r="C152" s="16">
        <v>140</v>
      </c>
      <c r="D152" s="30"/>
      <c r="E152" s="30" t="s">
        <v>57</v>
      </c>
      <c r="F152" s="30" t="s">
        <v>57</v>
      </c>
      <c r="G152" s="30" t="s">
        <v>57</v>
      </c>
      <c r="H152" s="30"/>
      <c r="I152" s="30" t="s">
        <v>57</v>
      </c>
    </row>
    <row r="153" spans="1:9" ht="25.5" outlineLevel="1">
      <c r="A153" s="17" t="s">
        <v>79</v>
      </c>
      <c r="B153" s="16">
        <v>21</v>
      </c>
      <c r="C153" s="16">
        <v>180</v>
      </c>
      <c r="D153" s="30"/>
      <c r="E153" s="30" t="s">
        <v>57</v>
      </c>
      <c r="F153" s="30">
        <f>4257190.3-4200-207538.75+2520+4200</f>
        <v>4052171.55</v>
      </c>
      <c r="G153" s="30"/>
      <c r="H153" s="30" t="s">
        <v>57</v>
      </c>
      <c r="I153" s="30" t="s">
        <v>57</v>
      </c>
    </row>
    <row r="154" spans="1:9" ht="12.75" outlineLevel="1">
      <c r="A154" s="17" t="s">
        <v>80</v>
      </c>
      <c r="B154" s="22">
        <v>22</v>
      </c>
      <c r="C154" s="16" t="s">
        <v>57</v>
      </c>
      <c r="D154" s="30"/>
      <c r="E154" s="30" t="s">
        <v>57</v>
      </c>
      <c r="F154" s="30" t="s">
        <v>57</v>
      </c>
      <c r="G154" s="30" t="s">
        <v>57</v>
      </c>
      <c r="H154" s="30"/>
      <c r="I154" s="30" t="s">
        <v>57</v>
      </c>
    </row>
    <row r="155" spans="1:9" ht="12.75" outlineLevel="1">
      <c r="A155" s="21" t="s">
        <v>25</v>
      </c>
      <c r="B155" s="77">
        <v>23</v>
      </c>
      <c r="C155" s="16"/>
      <c r="D155" s="78"/>
      <c r="E155" s="78" t="s">
        <v>57</v>
      </c>
      <c r="F155" s="78" t="s">
        <v>57</v>
      </c>
      <c r="G155" s="78" t="s">
        <v>57</v>
      </c>
      <c r="H155" s="78"/>
      <c r="I155" s="78" t="s">
        <v>57</v>
      </c>
    </row>
    <row r="156" spans="1:9" ht="25.5" outlineLevel="1">
      <c r="A156" s="21" t="s">
        <v>81</v>
      </c>
      <c r="B156" s="77"/>
      <c r="C156" s="16">
        <v>410</v>
      </c>
      <c r="D156" s="78"/>
      <c r="E156" s="78"/>
      <c r="F156" s="78"/>
      <c r="G156" s="78"/>
      <c r="H156" s="78"/>
      <c r="I156" s="78"/>
    </row>
    <row r="157" spans="1:9" ht="12.75" outlineLevel="1">
      <c r="A157" s="76" t="s">
        <v>82</v>
      </c>
      <c r="B157" s="77">
        <v>24</v>
      </c>
      <c r="C157" s="16"/>
      <c r="D157" s="78"/>
      <c r="E157" s="78" t="s">
        <v>57</v>
      </c>
      <c r="F157" s="78" t="s">
        <v>57</v>
      </c>
      <c r="G157" s="78" t="s">
        <v>57</v>
      </c>
      <c r="H157" s="78"/>
      <c r="I157" s="78" t="s">
        <v>57</v>
      </c>
    </row>
    <row r="158" spans="1:9" ht="12.75" outlineLevel="1">
      <c r="A158" s="76"/>
      <c r="B158" s="77"/>
      <c r="C158" s="16">
        <v>420</v>
      </c>
      <c r="D158" s="78"/>
      <c r="E158" s="78"/>
      <c r="F158" s="78"/>
      <c r="G158" s="78"/>
      <c r="H158" s="78"/>
      <c r="I158" s="78"/>
    </row>
    <row r="159" spans="1:9" ht="12.75" outlineLevel="1">
      <c r="A159" s="76" t="s">
        <v>83</v>
      </c>
      <c r="B159" s="77">
        <v>25</v>
      </c>
      <c r="C159" s="16"/>
      <c r="D159" s="78"/>
      <c r="E159" s="78" t="s">
        <v>57</v>
      </c>
      <c r="F159" s="78" t="s">
        <v>57</v>
      </c>
      <c r="G159" s="78" t="s">
        <v>57</v>
      </c>
      <c r="H159" s="78"/>
      <c r="I159" s="78" t="s">
        <v>57</v>
      </c>
    </row>
    <row r="160" spans="1:9" ht="12.75" outlineLevel="1">
      <c r="A160" s="76"/>
      <c r="B160" s="77"/>
      <c r="C160" s="16">
        <v>440</v>
      </c>
      <c r="D160" s="78"/>
      <c r="E160" s="78"/>
      <c r="F160" s="78"/>
      <c r="G160" s="78"/>
      <c r="H160" s="78"/>
      <c r="I160" s="78"/>
    </row>
    <row r="161" spans="1:9" ht="25.5" outlineLevel="1">
      <c r="A161" s="21" t="s">
        <v>84</v>
      </c>
      <c r="B161" s="22">
        <v>26</v>
      </c>
      <c r="C161" s="16">
        <v>620</v>
      </c>
      <c r="D161" s="30"/>
      <c r="E161" s="30" t="s">
        <v>57</v>
      </c>
      <c r="F161" s="30" t="s">
        <v>57</v>
      </c>
      <c r="G161" s="30" t="s">
        <v>57</v>
      </c>
      <c r="H161" s="30"/>
      <c r="I161" s="30" t="s">
        <v>57</v>
      </c>
    </row>
    <row r="162" spans="1:9" ht="12.75" outlineLevel="1">
      <c r="A162" s="17" t="s">
        <v>85</v>
      </c>
      <c r="B162" s="22">
        <v>27</v>
      </c>
      <c r="C162" s="16">
        <v>180</v>
      </c>
      <c r="D162" s="30"/>
      <c r="E162" s="30" t="s">
        <v>57</v>
      </c>
      <c r="F162" s="30" t="s">
        <v>57</v>
      </c>
      <c r="G162" s="30" t="s">
        <v>57</v>
      </c>
      <c r="H162" s="30"/>
      <c r="I162" s="30"/>
    </row>
    <row r="163" spans="1:9" ht="12.75" outlineLevel="1">
      <c r="A163" s="25" t="s">
        <v>86</v>
      </c>
      <c r="B163" s="22">
        <v>28</v>
      </c>
      <c r="C163" s="16" t="s">
        <v>57</v>
      </c>
      <c r="D163" s="34">
        <f>E163+F163+G163+H163</f>
        <v>91451468.94000003</v>
      </c>
      <c r="E163" s="34">
        <f>E164+E178+E198+E205+E193</f>
        <v>84986681.82000002</v>
      </c>
      <c r="F163" s="38">
        <f>F164+F198+F205+F193</f>
        <v>4052171.55</v>
      </c>
      <c r="G163" s="38">
        <f>G164+G178+G198+G205+G193</f>
        <v>0</v>
      </c>
      <c r="H163" s="58">
        <f>H164+H188+H193+H198+H205+H191</f>
        <v>2412615.5700000003</v>
      </c>
      <c r="I163" s="34"/>
    </row>
    <row r="164" spans="1:9" ht="12.75" outlineLevel="1">
      <c r="A164" s="17" t="s">
        <v>42</v>
      </c>
      <c r="B164" s="77">
        <v>29</v>
      </c>
      <c r="C164" s="16"/>
      <c r="D164" s="83">
        <f>E164+F164+G164+H164</f>
        <v>73044109.72000001</v>
      </c>
      <c r="E164" s="83">
        <f>E166+E173+E174+E175</f>
        <v>71855513.42000002</v>
      </c>
      <c r="F164" s="83">
        <f>F166+F173+F174+F175</f>
        <v>183596.3</v>
      </c>
      <c r="G164" s="83">
        <f>G166+G173+G174+G175</f>
        <v>0</v>
      </c>
      <c r="H164" s="83">
        <f>H166+H173+H174+H175</f>
        <v>1005000</v>
      </c>
      <c r="I164" s="83"/>
    </row>
    <row r="165" spans="1:9" ht="12.75" outlineLevel="1">
      <c r="A165" s="17" t="s">
        <v>87</v>
      </c>
      <c r="B165" s="77"/>
      <c r="C165" s="16">
        <v>100</v>
      </c>
      <c r="D165" s="83"/>
      <c r="E165" s="83"/>
      <c r="F165" s="83"/>
      <c r="G165" s="83"/>
      <c r="H165" s="83"/>
      <c r="I165" s="83"/>
    </row>
    <row r="166" spans="1:9" ht="12.75" outlineLevel="1">
      <c r="A166" s="21" t="s">
        <v>25</v>
      </c>
      <c r="B166" s="77">
        <v>30</v>
      </c>
      <c r="C166" s="16"/>
      <c r="D166" s="93">
        <f>E166+F166+G166+H166</f>
        <v>55865269.66000001</v>
      </c>
      <c r="E166" s="82">
        <f>E169+E170+E171+E172</f>
        <v>55105269.66000001</v>
      </c>
      <c r="F166" s="78">
        <f>F168+F170+F171+F172</f>
        <v>0</v>
      </c>
      <c r="G166" s="78">
        <f>G168+G170+G171+G172</f>
        <v>0</v>
      </c>
      <c r="H166" s="82">
        <f>H169+H170+H171+H172</f>
        <v>760000</v>
      </c>
      <c r="I166" s="78"/>
    </row>
    <row r="167" spans="1:9" ht="12.75" outlineLevel="1">
      <c r="A167" s="21" t="s">
        <v>88</v>
      </c>
      <c r="B167" s="77"/>
      <c r="C167" s="16">
        <v>111</v>
      </c>
      <c r="D167" s="94"/>
      <c r="E167" s="82"/>
      <c r="F167" s="78"/>
      <c r="G167" s="78"/>
      <c r="H167" s="82"/>
      <c r="I167" s="78"/>
    </row>
    <row r="168" spans="1:9" ht="12.75" outlineLevel="1">
      <c r="A168" s="17" t="s">
        <v>42</v>
      </c>
      <c r="B168" s="77">
        <v>31</v>
      </c>
      <c r="C168" s="16"/>
      <c r="D168" s="78">
        <f>E168+F168+G168+H168</f>
        <v>0</v>
      </c>
      <c r="E168" s="28"/>
      <c r="F168" s="78"/>
      <c r="G168" s="78"/>
      <c r="H168" s="28"/>
      <c r="I168" s="78"/>
    </row>
    <row r="169" spans="1:9" ht="12.75" outlineLevel="1">
      <c r="A169" s="17" t="s">
        <v>89</v>
      </c>
      <c r="B169" s="77"/>
      <c r="C169" s="16">
        <v>111</v>
      </c>
      <c r="D169" s="78"/>
      <c r="E169" s="28">
        <v>39558183.38</v>
      </c>
      <c r="F169" s="78"/>
      <c r="G169" s="78"/>
      <c r="H169" s="28">
        <v>697000</v>
      </c>
      <c r="I169" s="78"/>
    </row>
    <row r="170" spans="1:9" ht="12.75" outlineLevel="1">
      <c r="A170" s="17" t="s">
        <v>90</v>
      </c>
      <c r="B170" s="22">
        <v>32</v>
      </c>
      <c r="C170" s="16">
        <v>111</v>
      </c>
      <c r="D170" s="35">
        <f>E170+F170+G170+H170</f>
        <v>2503420.16</v>
      </c>
      <c r="E170" s="30">
        <v>2503420.16</v>
      </c>
      <c r="F170" s="30"/>
      <c r="G170" s="30"/>
      <c r="H170" s="30"/>
      <c r="I170" s="30"/>
    </row>
    <row r="171" spans="1:9" ht="25.5" outlineLevel="1">
      <c r="A171" s="17" t="s">
        <v>91</v>
      </c>
      <c r="B171" s="22">
        <v>33</v>
      </c>
      <c r="C171" s="16">
        <v>111</v>
      </c>
      <c r="D171" s="81">
        <f>E171+F171+G171+H171</f>
        <v>6890195.46</v>
      </c>
      <c r="E171" s="30">
        <v>6890195.46</v>
      </c>
      <c r="F171" s="30"/>
      <c r="G171" s="30"/>
      <c r="H171" s="30"/>
      <c r="I171" s="30"/>
    </row>
    <row r="172" spans="1:9" ht="12.75" outlineLevel="1">
      <c r="A172" s="17" t="s">
        <v>92</v>
      </c>
      <c r="B172" s="22">
        <v>34</v>
      </c>
      <c r="C172" s="16">
        <v>111</v>
      </c>
      <c r="D172" s="81"/>
      <c r="E172" s="30">
        <v>6153470.66</v>
      </c>
      <c r="F172" s="30">
        <f>27775-27775</f>
        <v>0</v>
      </c>
      <c r="G172" s="30"/>
      <c r="H172" s="30">
        <v>63000</v>
      </c>
      <c r="I172" s="30"/>
    </row>
    <row r="173" spans="1:9" ht="25.5" outlineLevel="1">
      <c r="A173" s="17" t="s">
        <v>93</v>
      </c>
      <c r="B173" s="22">
        <v>35</v>
      </c>
      <c r="C173" s="16">
        <v>112</v>
      </c>
      <c r="D173" s="35">
        <f>E173+F173+G173+H173</f>
        <v>342882.25</v>
      </c>
      <c r="E173" s="30">
        <f>131465.95+4200+1820-4200</f>
        <v>133285.95</v>
      </c>
      <c r="F173" s="30">
        <f>176876.3+2520+4200</f>
        <v>183596.3</v>
      </c>
      <c r="G173" s="30"/>
      <c r="H173" s="30">
        <v>26000</v>
      </c>
      <c r="I173" s="30"/>
    </row>
    <row r="174" spans="1:9" ht="51" outlineLevel="1">
      <c r="A174" s="17" t="s">
        <v>94</v>
      </c>
      <c r="B174" s="22">
        <v>36</v>
      </c>
      <c r="C174" s="16">
        <v>113</v>
      </c>
      <c r="D174" s="35">
        <f>E174+F174+G174+H174</f>
        <v>0</v>
      </c>
      <c r="E174" s="30"/>
      <c r="F174" s="30"/>
      <c r="G174" s="30"/>
      <c r="H174" s="30"/>
      <c r="I174" s="30"/>
    </row>
    <row r="175" spans="1:9" ht="12.75" outlineLevel="1">
      <c r="A175" s="72" t="s">
        <v>95</v>
      </c>
      <c r="B175" s="77">
        <v>37</v>
      </c>
      <c r="C175" s="16"/>
      <c r="D175" s="81">
        <f>SUM(E175:H177)</f>
        <v>16835957.810000002</v>
      </c>
      <c r="E175" s="78">
        <v>16616957.81</v>
      </c>
      <c r="F175" s="78">
        <f>8388-8388</f>
        <v>0</v>
      </c>
      <c r="G175" s="78"/>
      <c r="H175" s="78">
        <v>219000</v>
      </c>
      <c r="I175" s="78"/>
    </row>
    <row r="176" spans="1:9" ht="12.75" outlineLevel="1">
      <c r="A176" s="72"/>
      <c r="B176" s="77"/>
      <c r="C176" s="16"/>
      <c r="D176" s="81"/>
      <c r="E176" s="78"/>
      <c r="F176" s="78"/>
      <c r="G176" s="78"/>
      <c r="H176" s="78"/>
      <c r="I176" s="78"/>
    </row>
    <row r="177" spans="1:9" ht="12.75" outlineLevel="1">
      <c r="A177" s="72"/>
      <c r="B177" s="77"/>
      <c r="C177" s="16">
        <v>119</v>
      </c>
      <c r="D177" s="81"/>
      <c r="E177" s="78"/>
      <c r="F177" s="78"/>
      <c r="G177" s="78"/>
      <c r="H177" s="78"/>
      <c r="I177" s="78"/>
    </row>
    <row r="178" spans="1:9" ht="25.5" outlineLevel="1">
      <c r="A178" s="21" t="s">
        <v>96</v>
      </c>
      <c r="B178" s="22">
        <v>38</v>
      </c>
      <c r="C178" s="16">
        <v>300</v>
      </c>
      <c r="D178" s="34">
        <f>E178+F178+G178+H178</f>
        <v>0</v>
      </c>
      <c r="E178" s="34">
        <f>E179+E181+E185+E186+E187</f>
        <v>0</v>
      </c>
      <c r="F178" s="34">
        <f>F179+F181+F185+F186+F187+F183</f>
        <v>0</v>
      </c>
      <c r="G178" s="34">
        <f>G179+G181</f>
        <v>0</v>
      </c>
      <c r="H178" s="58">
        <f>H179+H181+H185+H186+H187</f>
        <v>0</v>
      </c>
      <c r="I178" s="34"/>
    </row>
    <row r="179" spans="1:9" ht="12.75" outlineLevel="1">
      <c r="A179" s="21" t="s">
        <v>25</v>
      </c>
      <c r="B179" s="77">
        <v>39</v>
      </c>
      <c r="C179" s="86">
        <v>320</v>
      </c>
      <c r="D179" s="78">
        <v>0</v>
      </c>
      <c r="E179" s="78"/>
      <c r="F179" s="78"/>
      <c r="G179" s="78"/>
      <c r="H179" s="78"/>
      <c r="I179" s="78"/>
    </row>
    <row r="180" spans="1:9" ht="38.25" outlineLevel="1">
      <c r="A180" s="21" t="s">
        <v>97</v>
      </c>
      <c r="B180" s="77"/>
      <c r="C180" s="86"/>
      <c r="D180" s="78"/>
      <c r="E180" s="78"/>
      <c r="F180" s="78"/>
      <c r="G180" s="78"/>
      <c r="H180" s="78"/>
      <c r="I180" s="78"/>
    </row>
    <row r="181" spans="1:9" ht="12.75" outlineLevel="1">
      <c r="A181" s="21" t="s">
        <v>25</v>
      </c>
      <c r="B181" s="77">
        <v>40</v>
      </c>
      <c r="C181" s="16"/>
      <c r="D181" s="28"/>
      <c r="E181" s="28"/>
      <c r="F181" s="28"/>
      <c r="G181" s="28"/>
      <c r="H181" s="28"/>
      <c r="I181" s="28"/>
    </row>
    <row r="182" spans="1:9" ht="51" outlineLevel="1">
      <c r="A182" s="21" t="s">
        <v>98</v>
      </c>
      <c r="B182" s="77"/>
      <c r="C182" s="16"/>
      <c r="D182" s="28"/>
      <c r="E182" s="28"/>
      <c r="F182" s="28"/>
      <c r="G182" s="28"/>
      <c r="H182" s="28"/>
      <c r="I182" s="28"/>
    </row>
    <row r="183" spans="1:9" ht="38.25" outlineLevel="1">
      <c r="A183" s="21" t="s">
        <v>209</v>
      </c>
      <c r="B183" s="77"/>
      <c r="C183" s="16">
        <v>323</v>
      </c>
      <c r="D183" s="28">
        <f>SUM(E183:H186)</f>
        <v>0</v>
      </c>
      <c r="E183" s="28"/>
      <c r="F183" s="28"/>
      <c r="G183" s="28"/>
      <c r="H183" s="28"/>
      <c r="I183" s="28"/>
    </row>
    <row r="184" spans="1:9" ht="12.75" outlineLevel="1">
      <c r="A184" s="19"/>
      <c r="B184" s="77"/>
      <c r="C184" s="16">
        <v>321</v>
      </c>
      <c r="D184" s="49"/>
      <c r="E184" s="49"/>
      <c r="F184" s="49"/>
      <c r="G184" s="49"/>
      <c r="H184" s="28"/>
      <c r="I184" s="49"/>
    </row>
    <row r="185" spans="1:9" ht="12.75" outlineLevel="1">
      <c r="A185" s="21" t="s">
        <v>99</v>
      </c>
      <c r="B185" s="22">
        <v>41</v>
      </c>
      <c r="C185" s="16">
        <v>340</v>
      </c>
      <c r="D185" s="35">
        <f>E185+F185+H185</f>
        <v>0</v>
      </c>
      <c r="E185" s="30"/>
      <c r="F185" s="30"/>
      <c r="G185" s="30" t="s">
        <v>57</v>
      </c>
      <c r="H185" s="30"/>
      <c r="I185" s="30"/>
    </row>
    <row r="186" spans="1:9" ht="12.75" outlineLevel="1">
      <c r="A186" s="21" t="s">
        <v>100</v>
      </c>
      <c r="B186" s="22">
        <v>42</v>
      </c>
      <c r="C186" s="16">
        <v>350</v>
      </c>
      <c r="D186" s="35">
        <f>E186+F186+H186</f>
        <v>0</v>
      </c>
      <c r="E186" s="30"/>
      <c r="F186" s="30"/>
      <c r="G186" s="30" t="s">
        <v>57</v>
      </c>
      <c r="H186" s="30"/>
      <c r="I186" s="30"/>
    </row>
    <row r="187" spans="1:9" ht="12.75" outlineLevel="1">
      <c r="A187" s="21" t="s">
        <v>101</v>
      </c>
      <c r="B187" s="22">
        <v>43</v>
      </c>
      <c r="C187" s="16">
        <v>360</v>
      </c>
      <c r="D187" s="35">
        <f>E187+F187+H187</f>
        <v>0</v>
      </c>
      <c r="E187" s="30"/>
      <c r="F187" s="30"/>
      <c r="G187" s="30" t="s">
        <v>57</v>
      </c>
      <c r="H187" s="30"/>
      <c r="I187" s="30"/>
    </row>
    <row r="188" spans="1:9" ht="12.75" outlineLevel="1">
      <c r="A188" s="21" t="s">
        <v>102</v>
      </c>
      <c r="B188" s="22">
        <v>44</v>
      </c>
      <c r="C188" s="16">
        <v>830</v>
      </c>
      <c r="D188" s="37"/>
      <c r="E188" s="37"/>
      <c r="F188" s="37"/>
      <c r="G188" s="37" t="s">
        <v>57</v>
      </c>
      <c r="H188" s="58">
        <f>SUM(H189)</f>
        <v>0</v>
      </c>
      <c r="I188" s="37"/>
    </row>
    <row r="189" spans="1:9" ht="12.75" outlineLevel="1">
      <c r="A189" s="21" t="s">
        <v>25</v>
      </c>
      <c r="B189" s="77">
        <v>45</v>
      </c>
      <c r="C189" s="16"/>
      <c r="D189" s="78">
        <f>SUM(E189:H192)</f>
        <v>0</v>
      </c>
      <c r="E189" s="78"/>
      <c r="F189" s="78"/>
      <c r="G189" s="78" t="s">
        <v>57</v>
      </c>
      <c r="H189" s="84"/>
      <c r="I189" s="78"/>
    </row>
    <row r="190" spans="1:9" ht="51" outlineLevel="1">
      <c r="A190" s="21" t="s">
        <v>103</v>
      </c>
      <c r="B190" s="77"/>
      <c r="C190" s="16"/>
      <c r="D190" s="78"/>
      <c r="E190" s="78"/>
      <c r="F190" s="78"/>
      <c r="G190" s="78"/>
      <c r="H190" s="85"/>
      <c r="I190" s="78"/>
    </row>
    <row r="191" spans="1:9" ht="12.75" outlineLevel="1">
      <c r="A191" s="19"/>
      <c r="B191" s="77"/>
      <c r="C191" s="16"/>
      <c r="D191" s="78"/>
      <c r="E191" s="78"/>
      <c r="F191" s="78"/>
      <c r="G191" s="78"/>
      <c r="H191" s="49"/>
      <c r="I191" s="78"/>
    </row>
    <row r="192" spans="1:9" ht="12.75" outlineLevel="1">
      <c r="A192" s="19"/>
      <c r="B192" s="77"/>
      <c r="C192" s="16">
        <v>831</v>
      </c>
      <c r="D192" s="78"/>
      <c r="E192" s="78"/>
      <c r="F192" s="78"/>
      <c r="G192" s="78"/>
      <c r="H192" s="49"/>
      <c r="I192" s="78"/>
    </row>
    <row r="193" spans="1:9" ht="25.5" outlineLevel="1">
      <c r="A193" s="21" t="s">
        <v>104</v>
      </c>
      <c r="B193" s="22">
        <v>46</v>
      </c>
      <c r="C193" s="16">
        <v>850</v>
      </c>
      <c r="D193" s="38">
        <f>E193+F193+H193</f>
        <v>4253124.68</v>
      </c>
      <c r="E193" s="38">
        <f>E194+E198+E199+E201+E202</f>
        <v>4236124.68</v>
      </c>
      <c r="F193" s="38">
        <f>F194+F198+F199+F201+F202</f>
        <v>0</v>
      </c>
      <c r="G193" s="30"/>
      <c r="H193" s="58">
        <f>SUM(H194:H197)</f>
        <v>17000</v>
      </c>
      <c r="I193" s="38"/>
    </row>
    <row r="194" spans="1:9" ht="12.75" outlineLevel="1">
      <c r="A194" s="21" t="s">
        <v>25</v>
      </c>
      <c r="B194" s="77">
        <v>47</v>
      </c>
      <c r="C194" s="16"/>
      <c r="D194" s="78">
        <f>E194+F194+H194</f>
        <v>4253124.68</v>
      </c>
      <c r="E194" s="78">
        <v>4236124.68</v>
      </c>
      <c r="F194" s="78"/>
      <c r="G194" s="78" t="s">
        <v>57</v>
      </c>
      <c r="H194" s="78">
        <v>17000</v>
      </c>
      <c r="I194" s="78"/>
    </row>
    <row r="195" spans="1:9" ht="25.5" outlineLevel="1">
      <c r="A195" s="21" t="s">
        <v>105</v>
      </c>
      <c r="B195" s="77"/>
      <c r="C195" s="16">
        <v>851</v>
      </c>
      <c r="D195" s="78"/>
      <c r="E195" s="78"/>
      <c r="F195" s="78"/>
      <c r="G195" s="78"/>
      <c r="H195" s="78"/>
      <c r="I195" s="78"/>
    </row>
    <row r="196" spans="1:9" ht="12.75" outlineLevel="1">
      <c r="A196" s="21" t="s">
        <v>106</v>
      </c>
      <c r="B196" s="22">
        <v>48</v>
      </c>
      <c r="C196" s="16">
        <v>852</v>
      </c>
      <c r="D196" s="35">
        <f>E196+F196+H196</f>
        <v>0</v>
      </c>
      <c r="E196" s="30"/>
      <c r="F196" s="30"/>
      <c r="G196" s="30" t="s">
        <v>57</v>
      </c>
      <c r="H196" s="30"/>
      <c r="I196" s="30"/>
    </row>
    <row r="197" spans="1:9" ht="12.75" outlineLevel="1">
      <c r="A197" s="17" t="s">
        <v>107</v>
      </c>
      <c r="B197" s="22">
        <v>49</v>
      </c>
      <c r="C197" s="16">
        <v>853</v>
      </c>
      <c r="D197" s="35">
        <f>E197+F197+H197</f>
        <v>0</v>
      </c>
      <c r="E197" s="30"/>
      <c r="F197" s="30"/>
      <c r="G197" s="30" t="s">
        <v>57</v>
      </c>
      <c r="H197" s="30"/>
      <c r="I197" s="30"/>
    </row>
    <row r="198" spans="1:9" ht="12.75" outlineLevel="1">
      <c r="A198" s="76" t="s">
        <v>108</v>
      </c>
      <c r="B198" s="77">
        <v>50</v>
      </c>
      <c r="C198" s="16"/>
      <c r="D198" s="83">
        <f>SUM(E198:H199)</f>
        <v>0</v>
      </c>
      <c r="E198" s="83">
        <f>E200+E203</f>
        <v>0</v>
      </c>
      <c r="F198" s="83">
        <f>F200+F203</f>
        <v>0</v>
      </c>
      <c r="G198" s="83">
        <f>G200+G203</f>
        <v>0</v>
      </c>
      <c r="H198" s="83">
        <f>H200+H203</f>
        <v>0</v>
      </c>
      <c r="I198" s="83"/>
    </row>
    <row r="199" spans="1:9" ht="12.75" outlineLevel="1">
      <c r="A199" s="76"/>
      <c r="B199" s="77"/>
      <c r="C199" s="16">
        <v>400</v>
      </c>
      <c r="D199" s="83"/>
      <c r="E199" s="83"/>
      <c r="F199" s="83"/>
      <c r="G199" s="83"/>
      <c r="H199" s="83"/>
      <c r="I199" s="83"/>
    </row>
    <row r="200" spans="1:9" ht="12.75" outlineLevel="1">
      <c r="A200" s="21" t="s">
        <v>25</v>
      </c>
      <c r="B200" s="77">
        <v>51</v>
      </c>
      <c r="C200" s="16"/>
      <c r="D200" s="78">
        <f>SUM(E200:H202)</f>
        <v>0</v>
      </c>
      <c r="E200" s="78"/>
      <c r="F200" s="78"/>
      <c r="G200" s="78"/>
      <c r="H200" s="78"/>
      <c r="I200" s="78"/>
    </row>
    <row r="201" spans="1:9" ht="38.25" outlineLevel="1">
      <c r="A201" s="21" t="s">
        <v>109</v>
      </c>
      <c r="B201" s="77"/>
      <c r="C201" s="16"/>
      <c r="D201" s="78"/>
      <c r="E201" s="78"/>
      <c r="F201" s="78"/>
      <c r="G201" s="78"/>
      <c r="H201" s="78"/>
      <c r="I201" s="78"/>
    </row>
    <row r="202" spans="1:9" ht="12.75" outlineLevel="1">
      <c r="A202" s="21"/>
      <c r="B202" s="77"/>
      <c r="C202" s="16">
        <v>416</v>
      </c>
      <c r="D202" s="78"/>
      <c r="E202" s="78"/>
      <c r="F202" s="78"/>
      <c r="G202" s="78"/>
      <c r="H202" s="78"/>
      <c r="I202" s="78"/>
    </row>
    <row r="203" spans="1:9" ht="12.75" outlineLevel="1">
      <c r="A203" s="72" t="s">
        <v>110</v>
      </c>
      <c r="B203" s="77">
        <v>52</v>
      </c>
      <c r="C203" s="16"/>
      <c r="D203" s="78">
        <f>SUM(E203:H204)</f>
        <v>0</v>
      </c>
      <c r="E203" s="78"/>
      <c r="F203" s="78"/>
      <c r="G203" s="78"/>
      <c r="H203" s="78"/>
      <c r="I203" s="78"/>
    </row>
    <row r="204" spans="1:9" ht="12.75" outlineLevel="1">
      <c r="A204" s="72"/>
      <c r="B204" s="77"/>
      <c r="C204" s="16">
        <v>417</v>
      </c>
      <c r="D204" s="78"/>
      <c r="E204" s="78"/>
      <c r="F204" s="78"/>
      <c r="G204" s="78"/>
      <c r="H204" s="78"/>
      <c r="I204" s="78"/>
    </row>
    <row r="205" spans="1:9" ht="12.75" outlineLevel="1">
      <c r="A205" s="21" t="s">
        <v>111</v>
      </c>
      <c r="B205" s="22">
        <v>53</v>
      </c>
      <c r="C205" s="16">
        <v>200</v>
      </c>
      <c r="D205" s="40">
        <f>SUM(E205:H205)</f>
        <v>14154234.540000001</v>
      </c>
      <c r="E205" s="40">
        <f>E210</f>
        <v>8895043.72</v>
      </c>
      <c r="F205" s="40">
        <f>F210+F209</f>
        <v>3868575.25</v>
      </c>
      <c r="G205" s="40">
        <f>G210</f>
        <v>0</v>
      </c>
      <c r="H205" s="58">
        <f>H210</f>
        <v>1390615.57</v>
      </c>
      <c r="I205" s="34"/>
    </row>
    <row r="206" spans="1:9" ht="12.75" outlineLevel="1">
      <c r="A206" s="21" t="s">
        <v>25</v>
      </c>
      <c r="B206" s="77">
        <v>54</v>
      </c>
      <c r="C206" s="16"/>
      <c r="D206" s="78">
        <f>SUM(E206:H208)</f>
        <v>0</v>
      </c>
      <c r="E206" s="78"/>
      <c r="F206" s="78"/>
      <c r="G206" s="78"/>
      <c r="H206" s="78"/>
      <c r="I206" s="78"/>
    </row>
    <row r="207" spans="1:9" ht="25.5" outlineLevel="1">
      <c r="A207" s="21" t="s">
        <v>112</v>
      </c>
      <c r="B207" s="77"/>
      <c r="C207" s="16"/>
      <c r="D207" s="78"/>
      <c r="E207" s="78"/>
      <c r="F207" s="78"/>
      <c r="G207" s="78"/>
      <c r="H207" s="78"/>
      <c r="I207" s="78"/>
    </row>
    <row r="208" spans="1:9" ht="12.75" outlineLevel="1">
      <c r="A208" s="19"/>
      <c r="B208" s="77"/>
      <c r="C208" s="16">
        <v>243</v>
      </c>
      <c r="D208" s="78"/>
      <c r="E208" s="78"/>
      <c r="F208" s="78"/>
      <c r="G208" s="78"/>
      <c r="H208" s="78"/>
      <c r="I208" s="78"/>
    </row>
    <row r="209" spans="1:9" ht="12.75" outlineLevel="1">
      <c r="A209" s="76" t="s">
        <v>113</v>
      </c>
      <c r="B209" s="77">
        <v>55</v>
      </c>
      <c r="C209" s="16">
        <v>323</v>
      </c>
      <c r="D209" s="79">
        <f>SUM(E209:H210)</f>
        <v>14154234.540000001</v>
      </c>
      <c r="E209" s="41"/>
      <c r="F209" s="28">
        <v>874144</v>
      </c>
      <c r="G209" s="28">
        <f>SUM(G211:G222)</f>
        <v>0</v>
      </c>
      <c r="H209" s="39"/>
      <c r="I209" s="78"/>
    </row>
    <row r="210" spans="1:9" ht="12.75" outlineLevel="1">
      <c r="A210" s="76"/>
      <c r="B210" s="77"/>
      <c r="C210" s="16">
        <v>244</v>
      </c>
      <c r="D210" s="80"/>
      <c r="E210" s="41">
        <f>SUM(E211:E222)</f>
        <v>8895043.72</v>
      </c>
      <c r="F210" s="41">
        <f>SUM(F211:F222)</f>
        <v>2994431.25</v>
      </c>
      <c r="G210" s="41">
        <f>SUM(G211:G221)</f>
        <v>0</v>
      </c>
      <c r="H210" s="45">
        <f>SUM(H211:H221)</f>
        <v>1390615.57</v>
      </c>
      <c r="I210" s="78"/>
    </row>
    <row r="211" spans="1:9" ht="12.75" outlineLevel="1">
      <c r="A211" s="21" t="s">
        <v>25</v>
      </c>
      <c r="B211" s="77">
        <v>56</v>
      </c>
      <c r="C211" s="16"/>
      <c r="D211" s="82">
        <f>E211+F211+H211</f>
        <v>180000</v>
      </c>
      <c r="E211" s="82">
        <v>180000</v>
      </c>
      <c r="F211" s="78"/>
      <c r="G211" s="78" t="s">
        <v>57</v>
      </c>
      <c r="H211" s="78"/>
      <c r="I211" s="78"/>
    </row>
    <row r="212" spans="1:9" ht="12.75" outlineLevel="1">
      <c r="A212" s="21" t="s">
        <v>114</v>
      </c>
      <c r="B212" s="77"/>
      <c r="C212" s="16">
        <v>244</v>
      </c>
      <c r="D212" s="82"/>
      <c r="E212" s="82"/>
      <c r="F212" s="78"/>
      <c r="G212" s="78"/>
      <c r="H212" s="78"/>
      <c r="I212" s="78"/>
    </row>
    <row r="213" spans="1:9" ht="12.75" outlineLevel="1">
      <c r="A213" s="21" t="s">
        <v>115</v>
      </c>
      <c r="B213" s="22">
        <v>57</v>
      </c>
      <c r="C213" s="16">
        <v>244</v>
      </c>
      <c r="D213" s="30">
        <f>SUM(E213:H213)</f>
        <v>0</v>
      </c>
      <c r="E213" s="30"/>
      <c r="F213" s="30"/>
      <c r="G213" s="30"/>
      <c r="H213" s="30">
        <f>14200-1700-12500</f>
        <v>0</v>
      </c>
      <c r="I213" s="30"/>
    </row>
    <row r="214" spans="1:9" ht="12.75" outlineLevel="1">
      <c r="A214" s="21" t="s">
        <v>116</v>
      </c>
      <c r="B214" s="22">
        <v>58</v>
      </c>
      <c r="C214" s="16">
        <v>244</v>
      </c>
      <c r="D214" s="30">
        <f>SUM(E214:H214)</f>
        <v>5405735.140000001</v>
      </c>
      <c r="E214" s="30">
        <v>5316119.57</v>
      </c>
      <c r="F214" s="30"/>
      <c r="G214" s="30"/>
      <c r="H214" s="30">
        <v>89615.57</v>
      </c>
      <c r="I214" s="30"/>
    </row>
    <row r="215" spans="1:9" ht="25.5" outlineLevel="1">
      <c r="A215" s="21" t="s">
        <v>117</v>
      </c>
      <c r="B215" s="22">
        <v>59</v>
      </c>
      <c r="C215" s="16">
        <v>244</v>
      </c>
      <c r="D215" s="30">
        <f>E215+F215+H215</f>
        <v>0</v>
      </c>
      <c r="E215" s="30"/>
      <c r="F215" s="30"/>
      <c r="G215" s="30" t="s">
        <v>57</v>
      </c>
      <c r="H215" s="30"/>
      <c r="I215" s="30"/>
    </row>
    <row r="216" spans="1:9" ht="25.5" outlineLevel="1">
      <c r="A216" s="21" t="s">
        <v>118</v>
      </c>
      <c r="B216" s="22">
        <v>60</v>
      </c>
      <c r="C216" s="16">
        <v>244</v>
      </c>
      <c r="D216" s="30">
        <f>SUM(E216:H216)</f>
        <v>2532242.23</v>
      </c>
      <c r="E216" s="30">
        <v>96242.23</v>
      </c>
      <c r="F216" s="30">
        <v>2360000</v>
      </c>
      <c r="G216" s="30"/>
      <c r="H216" s="30">
        <v>76000</v>
      </c>
      <c r="I216" s="30"/>
    </row>
    <row r="217" spans="1:9" ht="12.75" outlineLevel="1">
      <c r="A217" s="21" t="s">
        <v>119</v>
      </c>
      <c r="B217" s="22">
        <v>61</v>
      </c>
      <c r="C217" s="16">
        <v>244</v>
      </c>
      <c r="D217" s="30">
        <f>SUM(E217:H217)</f>
        <v>2785550.17</v>
      </c>
      <c r="E217" s="30">
        <f>1662238.92+18380</f>
        <v>1680618.92</v>
      </c>
      <c r="F217" s="30">
        <f>792470-207538.75</f>
        <v>584931.25</v>
      </c>
      <c r="G217" s="30"/>
      <c r="H217" s="30">
        <v>520000</v>
      </c>
      <c r="I217" s="30"/>
    </row>
    <row r="218" spans="1:9" ht="25.5" outlineLevel="1">
      <c r="A218" s="21" t="s">
        <v>120</v>
      </c>
      <c r="B218" s="22">
        <v>62</v>
      </c>
      <c r="C218" s="16">
        <v>244</v>
      </c>
      <c r="D218" s="30">
        <f>SUM(E218:H218)</f>
        <v>1946563</v>
      </c>
      <c r="E218" s="30">
        <f>1594480+27583</f>
        <v>1622063</v>
      </c>
      <c r="F218" s="30">
        <f>43700-4200</f>
        <v>39500</v>
      </c>
      <c r="G218" s="30"/>
      <c r="H218" s="30">
        <v>285000</v>
      </c>
      <c r="I218" s="30"/>
    </row>
    <row r="219" spans="1:9" ht="12.75" outlineLevel="1">
      <c r="A219" s="76" t="s">
        <v>121</v>
      </c>
      <c r="B219" s="77">
        <v>63</v>
      </c>
      <c r="C219" s="16"/>
      <c r="D219" s="78">
        <f>E219+F219+H219</f>
        <v>0</v>
      </c>
      <c r="E219" s="78"/>
      <c r="F219" s="78"/>
      <c r="G219" s="78" t="s">
        <v>57</v>
      </c>
      <c r="H219" s="78"/>
      <c r="I219" s="78"/>
    </row>
    <row r="220" spans="1:9" ht="12.75" outlineLevel="1">
      <c r="A220" s="76"/>
      <c r="B220" s="77"/>
      <c r="C220" s="16">
        <v>244</v>
      </c>
      <c r="D220" s="78"/>
      <c r="E220" s="78"/>
      <c r="F220" s="78"/>
      <c r="G220" s="78"/>
      <c r="H220" s="78"/>
      <c r="I220" s="78"/>
    </row>
    <row r="221" spans="1:9" ht="25.5" outlineLevel="1">
      <c r="A221" s="17" t="s">
        <v>122</v>
      </c>
      <c r="B221" s="22">
        <v>64</v>
      </c>
      <c r="C221" s="16">
        <v>244</v>
      </c>
      <c r="D221" s="30">
        <f>SUM(E221:H221)</f>
        <v>430000</v>
      </c>
      <c r="E221" s="30"/>
      <c r="F221" s="30">
        <v>10000</v>
      </c>
      <c r="G221" s="30"/>
      <c r="H221" s="30">
        <v>420000</v>
      </c>
      <c r="I221" s="30"/>
    </row>
    <row r="222" spans="1:9" ht="12.75" outlineLevel="1">
      <c r="A222" s="17" t="s">
        <v>123</v>
      </c>
      <c r="B222" s="22">
        <v>65</v>
      </c>
      <c r="C222" s="16" t="s">
        <v>57</v>
      </c>
      <c r="D222" s="30">
        <f>SUM(E222:H222)</f>
        <v>0</v>
      </c>
      <c r="E222" s="30"/>
      <c r="F222" s="30"/>
      <c r="G222" s="30"/>
      <c r="H222" s="30"/>
      <c r="I222" s="30"/>
    </row>
    <row r="223" spans="1:9" ht="12.75" outlineLevel="1">
      <c r="A223" s="17" t="s">
        <v>124</v>
      </c>
      <c r="B223" s="22">
        <v>66</v>
      </c>
      <c r="C223" s="16" t="s">
        <v>57</v>
      </c>
      <c r="D223" s="30">
        <f>SUM(E223:H223)</f>
        <v>0</v>
      </c>
      <c r="E223" s="30">
        <f>E127+E122-E163</f>
        <v>0</v>
      </c>
      <c r="F223" s="30">
        <f>F127+F122-F163</f>
        <v>0</v>
      </c>
      <c r="G223" s="30">
        <f>G127+G122-G163</f>
        <v>0</v>
      </c>
      <c r="H223" s="30">
        <f>H127+H122-H163</f>
        <v>0</v>
      </c>
      <c r="I223" s="30"/>
    </row>
    <row r="224" ht="12.75" outlineLevel="1"/>
    <row r="225" spans="1:9" ht="12.75">
      <c r="A225" s="91" t="s">
        <v>224</v>
      </c>
      <c r="B225" s="91"/>
      <c r="C225" s="91"/>
      <c r="D225" s="91"/>
      <c r="E225" s="91"/>
      <c r="F225" s="91"/>
      <c r="G225" s="91"/>
      <c r="H225" s="91"/>
      <c r="I225" s="91"/>
    </row>
    <row r="226" spans="1:9" ht="12.75">
      <c r="A226" s="89" t="s">
        <v>22</v>
      </c>
      <c r="B226" s="18" t="s">
        <v>46</v>
      </c>
      <c r="C226" s="92" t="s">
        <v>48</v>
      </c>
      <c r="D226" s="89" t="s">
        <v>49</v>
      </c>
      <c r="E226" s="89"/>
      <c r="F226" s="89"/>
      <c r="G226" s="89"/>
      <c r="H226" s="89"/>
      <c r="I226" s="89"/>
    </row>
    <row r="227" spans="1:9" ht="12.75">
      <c r="A227" s="89"/>
      <c r="B227" s="18" t="s">
        <v>47</v>
      </c>
      <c r="C227" s="92"/>
      <c r="D227" s="89" t="s">
        <v>50</v>
      </c>
      <c r="E227" s="86" t="s">
        <v>42</v>
      </c>
      <c r="F227" s="86"/>
      <c r="G227" s="86"/>
      <c r="H227" s="86"/>
      <c r="I227" s="86"/>
    </row>
    <row r="228" spans="1:9" ht="12.75">
      <c r="A228" s="89"/>
      <c r="B228" s="19"/>
      <c r="C228" s="92"/>
      <c r="D228" s="89"/>
      <c r="E228" s="86" t="s">
        <v>51</v>
      </c>
      <c r="F228" s="86" t="s">
        <v>52</v>
      </c>
      <c r="G228" s="86" t="s">
        <v>53</v>
      </c>
      <c r="H228" s="86" t="s">
        <v>54</v>
      </c>
      <c r="I228" s="86"/>
    </row>
    <row r="229" spans="1:9" ht="12.75">
      <c r="A229" s="89"/>
      <c r="B229" s="19"/>
      <c r="C229" s="92"/>
      <c r="D229" s="89"/>
      <c r="E229" s="86"/>
      <c r="F229" s="86"/>
      <c r="G229" s="86"/>
      <c r="H229" s="16" t="s">
        <v>50</v>
      </c>
      <c r="I229" s="16" t="s">
        <v>55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72" t="s">
        <v>56</v>
      </c>
      <c r="B231" s="87">
        <v>1</v>
      </c>
      <c r="C231" s="20"/>
      <c r="D231" s="88"/>
      <c r="E231" s="88"/>
      <c r="F231" s="88"/>
      <c r="G231" s="88"/>
      <c r="H231" s="88"/>
      <c r="I231" s="88"/>
    </row>
    <row r="232" spans="1:9" ht="12.75">
      <c r="A232" s="72"/>
      <c r="B232" s="87"/>
      <c r="C232" s="20" t="s">
        <v>57</v>
      </c>
      <c r="D232" s="88"/>
      <c r="E232" s="88"/>
      <c r="F232" s="88"/>
      <c r="G232" s="88"/>
      <c r="H232" s="88"/>
      <c r="I232" s="88"/>
    </row>
    <row r="233" spans="1:9" ht="38.25">
      <c r="A233" s="17" t="s">
        <v>58</v>
      </c>
      <c r="B233" s="20">
        <v>2</v>
      </c>
      <c r="C233" s="20">
        <v>180</v>
      </c>
      <c r="D233" s="29"/>
      <c r="E233" s="29" t="s">
        <v>57</v>
      </c>
      <c r="F233" s="29"/>
      <c r="G233" s="29"/>
      <c r="H233" s="20" t="s">
        <v>57</v>
      </c>
      <c r="I233" s="20" t="s">
        <v>57</v>
      </c>
    </row>
    <row r="234" spans="1:9" ht="12.75">
      <c r="A234" s="72" t="s">
        <v>59</v>
      </c>
      <c r="B234" s="87">
        <v>3</v>
      </c>
      <c r="C234" s="20"/>
      <c r="D234" s="82"/>
      <c r="E234" s="82"/>
      <c r="F234" s="82" t="s">
        <v>57</v>
      </c>
      <c r="G234" s="82" t="s">
        <v>57</v>
      </c>
      <c r="H234" s="87" t="s">
        <v>57</v>
      </c>
      <c r="I234" s="87" t="s">
        <v>57</v>
      </c>
    </row>
    <row r="235" spans="1:9" ht="12.75">
      <c r="A235" s="72"/>
      <c r="B235" s="87"/>
      <c r="C235" s="20">
        <v>130</v>
      </c>
      <c r="D235" s="82"/>
      <c r="E235" s="82"/>
      <c r="F235" s="82"/>
      <c r="G235" s="82"/>
      <c r="H235" s="87"/>
      <c r="I235" s="87"/>
    </row>
    <row r="236" spans="1:9" ht="12.75">
      <c r="A236" s="90" t="s">
        <v>60</v>
      </c>
      <c r="B236" s="87">
        <v>4</v>
      </c>
      <c r="C236" s="20"/>
      <c r="D236" s="88">
        <f>E236+F236+G236+H236</f>
        <v>97302519.63999999</v>
      </c>
      <c r="E236" s="88">
        <f>79912518.82+4200+10814075-4200</f>
        <v>90726593.82</v>
      </c>
      <c r="F236" s="88">
        <f>F262</f>
        <v>4163310.25</v>
      </c>
      <c r="G236" s="88"/>
      <c r="H236" s="88">
        <f>H240+H243+H271+H261</f>
        <v>2412615.57</v>
      </c>
      <c r="I236" s="87"/>
    </row>
    <row r="237" spans="1:9" ht="12.75">
      <c r="A237" s="90"/>
      <c r="B237" s="87"/>
      <c r="C237" s="20" t="s">
        <v>57</v>
      </c>
      <c r="D237" s="88"/>
      <c r="E237" s="88"/>
      <c r="F237" s="88"/>
      <c r="G237" s="88"/>
      <c r="H237" s="88"/>
      <c r="I237" s="87"/>
    </row>
    <row r="238" spans="1:9" ht="12.75" outlineLevel="1">
      <c r="A238" s="17" t="s">
        <v>42</v>
      </c>
      <c r="B238" s="87">
        <v>5</v>
      </c>
      <c r="C238" s="20"/>
      <c r="D238" s="82">
        <f>H238</f>
        <v>477947.2</v>
      </c>
      <c r="E238" s="82" t="s">
        <v>57</v>
      </c>
      <c r="F238" s="82" t="s">
        <v>57</v>
      </c>
      <c r="G238" s="82" t="s">
        <v>57</v>
      </c>
      <c r="H238" s="82">
        <f>H240</f>
        <v>477947.2</v>
      </c>
      <c r="I238" s="82" t="s">
        <v>57</v>
      </c>
    </row>
    <row r="239" spans="1:9" ht="12.75" outlineLevel="1">
      <c r="A239" s="17" t="s">
        <v>61</v>
      </c>
      <c r="B239" s="87"/>
      <c r="C239" s="20">
        <v>120</v>
      </c>
      <c r="D239" s="82"/>
      <c r="E239" s="82"/>
      <c r="F239" s="82"/>
      <c r="G239" s="82"/>
      <c r="H239" s="82"/>
      <c r="I239" s="82"/>
    </row>
    <row r="240" spans="1:9" ht="12.75" outlineLevel="1">
      <c r="A240" s="21" t="s">
        <v>25</v>
      </c>
      <c r="B240" s="87">
        <v>6</v>
      </c>
      <c r="C240" s="87">
        <v>120</v>
      </c>
      <c r="D240" s="82">
        <f>H240</f>
        <v>477947.2</v>
      </c>
      <c r="E240" s="82" t="s">
        <v>57</v>
      </c>
      <c r="F240" s="82" t="s">
        <v>57</v>
      </c>
      <c r="G240" s="82" t="s">
        <v>57</v>
      </c>
      <c r="H240" s="82">
        <v>477947.2</v>
      </c>
      <c r="I240" s="82" t="s">
        <v>57</v>
      </c>
    </row>
    <row r="241" spans="1:9" ht="38.25" outlineLevel="1">
      <c r="A241" s="21" t="s">
        <v>62</v>
      </c>
      <c r="B241" s="87"/>
      <c r="C241" s="87"/>
      <c r="D241" s="82"/>
      <c r="E241" s="82"/>
      <c r="F241" s="82"/>
      <c r="G241" s="82"/>
      <c r="H241" s="82"/>
      <c r="I241" s="82"/>
    </row>
    <row r="242" spans="1:9" ht="25.5" outlineLevel="1">
      <c r="A242" s="21" t="s">
        <v>63</v>
      </c>
      <c r="B242" s="20">
        <v>7</v>
      </c>
      <c r="C242" s="20">
        <v>120</v>
      </c>
      <c r="D242" s="29"/>
      <c r="E242" s="29" t="s">
        <v>57</v>
      </c>
      <c r="F242" s="29" t="s">
        <v>57</v>
      </c>
      <c r="G242" s="29" t="s">
        <v>57</v>
      </c>
      <c r="H242" s="29"/>
      <c r="I242" s="29" t="s">
        <v>57</v>
      </c>
    </row>
    <row r="243" spans="1:9" ht="12.75" outlineLevel="1">
      <c r="A243" s="17" t="s">
        <v>64</v>
      </c>
      <c r="B243" s="20">
        <v>8</v>
      </c>
      <c r="C243" s="20">
        <v>130</v>
      </c>
      <c r="D243" s="29">
        <f>H243</f>
        <v>1934668.3699999999</v>
      </c>
      <c r="E243" s="29"/>
      <c r="F243" s="29" t="s">
        <v>57</v>
      </c>
      <c r="G243" s="29" t="s">
        <v>57</v>
      </c>
      <c r="H243" s="29">
        <f>SUM(H244:H260)</f>
        <v>1934668.3699999999</v>
      </c>
      <c r="I243" s="29"/>
    </row>
    <row r="244" spans="1:9" ht="12.75" outlineLevel="1">
      <c r="A244" s="21" t="s">
        <v>65</v>
      </c>
      <c r="B244" s="86">
        <v>9</v>
      </c>
      <c r="C244" s="86">
        <v>130</v>
      </c>
      <c r="D244" s="78"/>
      <c r="E244" s="78" t="s">
        <v>57</v>
      </c>
      <c r="F244" s="78" t="s">
        <v>57</v>
      </c>
      <c r="G244" s="78" t="s">
        <v>57</v>
      </c>
      <c r="H244" s="78"/>
      <c r="I244" s="78"/>
    </row>
    <row r="245" spans="1:9" ht="25.5" outlineLevel="1">
      <c r="A245" s="21" t="s">
        <v>66</v>
      </c>
      <c r="B245" s="86"/>
      <c r="C245" s="86"/>
      <c r="D245" s="78"/>
      <c r="E245" s="78"/>
      <c r="F245" s="78"/>
      <c r="G245" s="78"/>
      <c r="H245" s="78"/>
      <c r="I245" s="78"/>
    </row>
    <row r="246" spans="1:9" ht="12.75" outlineLevel="1">
      <c r="A246" s="17" t="s">
        <v>42</v>
      </c>
      <c r="B246" s="86">
        <v>10</v>
      </c>
      <c r="C246" s="86">
        <v>130</v>
      </c>
      <c r="D246" s="78"/>
      <c r="E246" s="78" t="s">
        <v>57</v>
      </c>
      <c r="F246" s="78" t="s">
        <v>57</v>
      </c>
      <c r="G246" s="78" t="s">
        <v>57</v>
      </c>
      <c r="H246" s="78"/>
      <c r="I246" s="78"/>
    </row>
    <row r="247" spans="1:9" ht="12.75" outlineLevel="1">
      <c r="A247" s="17" t="s">
        <v>67</v>
      </c>
      <c r="B247" s="86"/>
      <c r="C247" s="86"/>
      <c r="D247" s="78"/>
      <c r="E247" s="78"/>
      <c r="F247" s="78"/>
      <c r="G247" s="78"/>
      <c r="H247" s="78"/>
      <c r="I247" s="78"/>
    </row>
    <row r="248" spans="1:9" ht="12.75" outlineLevel="1">
      <c r="A248" s="17" t="s">
        <v>42</v>
      </c>
      <c r="B248" s="86">
        <v>11</v>
      </c>
      <c r="C248" s="86">
        <v>130</v>
      </c>
      <c r="D248" s="78"/>
      <c r="E248" s="78" t="s">
        <v>57</v>
      </c>
      <c r="F248" s="78" t="s">
        <v>57</v>
      </c>
      <c r="G248" s="78" t="s">
        <v>57</v>
      </c>
      <c r="H248" s="78"/>
      <c r="I248" s="78"/>
    </row>
    <row r="249" spans="1:9" ht="12.75" outlineLevel="1">
      <c r="A249" s="17" t="s">
        <v>68</v>
      </c>
      <c r="B249" s="86"/>
      <c r="C249" s="86"/>
      <c r="D249" s="78"/>
      <c r="E249" s="78"/>
      <c r="F249" s="78"/>
      <c r="G249" s="78"/>
      <c r="H249" s="78"/>
      <c r="I249" s="78"/>
    </row>
    <row r="250" spans="1:9" ht="12.75" outlineLevel="1">
      <c r="A250" s="17" t="s">
        <v>69</v>
      </c>
      <c r="B250" s="86"/>
      <c r="C250" s="86"/>
      <c r="D250" s="78"/>
      <c r="E250" s="78"/>
      <c r="F250" s="78"/>
      <c r="G250" s="78"/>
      <c r="H250" s="78"/>
      <c r="I250" s="78"/>
    </row>
    <row r="251" spans="1:9" ht="12.75" outlineLevel="1">
      <c r="A251" s="17" t="s">
        <v>42</v>
      </c>
      <c r="B251" s="86">
        <v>12</v>
      </c>
      <c r="C251" s="86">
        <v>130</v>
      </c>
      <c r="D251" s="78">
        <f>H251</f>
        <v>1713633.96</v>
      </c>
      <c r="E251" s="78" t="s">
        <v>57</v>
      </c>
      <c r="F251" s="78" t="s">
        <v>57</v>
      </c>
      <c r="G251" s="78" t="s">
        <v>57</v>
      </c>
      <c r="H251" s="82">
        <f>1686290.77+27343.19</f>
        <v>1713633.96</v>
      </c>
      <c r="I251" s="78"/>
    </row>
    <row r="252" spans="1:9" ht="25.5" outlineLevel="1">
      <c r="A252" s="17" t="s">
        <v>70</v>
      </c>
      <c r="B252" s="86"/>
      <c r="C252" s="86"/>
      <c r="D252" s="78"/>
      <c r="E252" s="78"/>
      <c r="F252" s="78"/>
      <c r="G252" s="78"/>
      <c r="H252" s="82"/>
      <c r="I252" s="78"/>
    </row>
    <row r="253" spans="1:9" ht="38.25" outlineLevel="1">
      <c r="A253" s="17" t="s">
        <v>71</v>
      </c>
      <c r="B253" s="16">
        <v>13</v>
      </c>
      <c r="C253" s="16">
        <v>130</v>
      </c>
      <c r="D253" s="30"/>
      <c r="E253" s="30" t="s">
        <v>57</v>
      </c>
      <c r="F253" s="30" t="s">
        <v>57</v>
      </c>
      <c r="G253" s="30" t="s">
        <v>57</v>
      </c>
      <c r="H253" s="30"/>
      <c r="I253" s="30"/>
    </row>
    <row r="254" spans="1:9" ht="38.25" outlineLevel="1">
      <c r="A254" s="17" t="s">
        <v>72</v>
      </c>
      <c r="B254" s="16">
        <v>14</v>
      </c>
      <c r="C254" s="16">
        <v>130</v>
      </c>
      <c r="D254" s="30"/>
      <c r="E254" s="30" t="s">
        <v>57</v>
      </c>
      <c r="F254" s="30" t="s">
        <v>57</v>
      </c>
      <c r="G254" s="30" t="s">
        <v>57</v>
      </c>
      <c r="H254" s="30"/>
      <c r="I254" s="30"/>
    </row>
    <row r="255" spans="1:9" ht="25.5" outlineLevel="1">
      <c r="A255" s="17" t="s">
        <v>73</v>
      </c>
      <c r="B255" s="16">
        <v>15</v>
      </c>
      <c r="C255" s="16">
        <v>130</v>
      </c>
      <c r="D255" s="30"/>
      <c r="E255" s="30" t="s">
        <v>57</v>
      </c>
      <c r="F255" s="30" t="s">
        <v>57</v>
      </c>
      <c r="G255" s="30" t="s">
        <v>57</v>
      </c>
      <c r="H255" s="30"/>
      <c r="I255" s="30"/>
    </row>
    <row r="256" spans="1:9" ht="25.5" outlineLevel="1">
      <c r="A256" s="17" t="s">
        <v>74</v>
      </c>
      <c r="B256" s="16">
        <v>16</v>
      </c>
      <c r="C256" s="16">
        <v>130</v>
      </c>
      <c r="D256" s="30"/>
      <c r="E256" s="30" t="s">
        <v>57</v>
      </c>
      <c r="F256" s="30" t="s">
        <v>57</v>
      </c>
      <c r="G256" s="30" t="s">
        <v>57</v>
      </c>
      <c r="H256" s="30"/>
      <c r="I256" s="30"/>
    </row>
    <row r="257" spans="1:9" ht="12.75" outlineLevel="1">
      <c r="A257" s="17" t="s">
        <v>42</v>
      </c>
      <c r="B257" s="86">
        <v>17</v>
      </c>
      <c r="C257" s="86">
        <v>130</v>
      </c>
      <c r="D257" s="78"/>
      <c r="E257" s="78" t="s">
        <v>57</v>
      </c>
      <c r="F257" s="78" t="s">
        <v>57</v>
      </c>
      <c r="G257" s="78" t="s">
        <v>57</v>
      </c>
      <c r="H257" s="78"/>
      <c r="I257" s="78"/>
    </row>
    <row r="258" spans="1:9" ht="25.5" outlineLevel="1">
      <c r="A258" s="17" t="s">
        <v>75</v>
      </c>
      <c r="B258" s="86"/>
      <c r="C258" s="86"/>
      <c r="D258" s="78"/>
      <c r="E258" s="78"/>
      <c r="F258" s="78"/>
      <c r="G258" s="78"/>
      <c r="H258" s="78"/>
      <c r="I258" s="78"/>
    </row>
    <row r="259" spans="1:9" ht="25.5" outlineLevel="1">
      <c r="A259" s="17" t="s">
        <v>76</v>
      </c>
      <c r="B259" s="16">
        <v>18</v>
      </c>
      <c r="C259" s="16">
        <v>130</v>
      </c>
      <c r="D259" s="30"/>
      <c r="E259" s="30" t="s">
        <v>57</v>
      </c>
      <c r="F259" s="30" t="s">
        <v>57</v>
      </c>
      <c r="G259" s="30" t="s">
        <v>57</v>
      </c>
      <c r="H259" s="30"/>
      <c r="I259" s="30"/>
    </row>
    <row r="260" spans="1:9" ht="12.75" outlineLevel="1">
      <c r="A260" s="17" t="s">
        <v>77</v>
      </c>
      <c r="B260" s="16">
        <v>19</v>
      </c>
      <c r="C260" s="16">
        <v>130</v>
      </c>
      <c r="D260" s="30">
        <f>H260</f>
        <v>221034.41</v>
      </c>
      <c r="E260" s="30" t="s">
        <v>57</v>
      </c>
      <c r="F260" s="30" t="s">
        <v>57</v>
      </c>
      <c r="G260" s="30" t="s">
        <v>57</v>
      </c>
      <c r="H260" s="30">
        <f>89615.57+131418.84</f>
        <v>221034.41</v>
      </c>
      <c r="I260" s="30"/>
    </row>
    <row r="261" spans="1:9" ht="25.5" outlineLevel="1">
      <c r="A261" s="17" t="s">
        <v>78</v>
      </c>
      <c r="B261" s="16">
        <v>20</v>
      </c>
      <c r="C261" s="16">
        <v>140</v>
      </c>
      <c r="D261" s="30"/>
      <c r="E261" s="30" t="s">
        <v>57</v>
      </c>
      <c r="F261" s="30" t="s">
        <v>57</v>
      </c>
      <c r="G261" s="30" t="s">
        <v>57</v>
      </c>
      <c r="H261" s="30"/>
      <c r="I261" s="30" t="s">
        <v>57</v>
      </c>
    </row>
    <row r="262" spans="1:9" ht="25.5" outlineLevel="1">
      <c r="A262" s="17" t="s">
        <v>79</v>
      </c>
      <c r="B262" s="16">
        <v>21</v>
      </c>
      <c r="C262" s="16">
        <v>180</v>
      </c>
      <c r="D262" s="30"/>
      <c r="E262" s="30" t="s">
        <v>57</v>
      </c>
      <c r="F262" s="30">
        <f>4368329-4200-207538.75+2520+4200</f>
        <v>4163310.25</v>
      </c>
      <c r="G262" s="30"/>
      <c r="H262" s="30" t="s">
        <v>57</v>
      </c>
      <c r="I262" s="30" t="s">
        <v>57</v>
      </c>
    </row>
    <row r="263" spans="1:9" ht="12.75" outlineLevel="1">
      <c r="A263" s="17" t="s">
        <v>80</v>
      </c>
      <c r="B263" s="22">
        <v>22</v>
      </c>
      <c r="C263" s="16" t="s">
        <v>57</v>
      </c>
      <c r="D263" s="30"/>
      <c r="E263" s="30" t="s">
        <v>57</v>
      </c>
      <c r="F263" s="30" t="s">
        <v>57</v>
      </c>
      <c r="G263" s="30" t="s">
        <v>57</v>
      </c>
      <c r="H263" s="30"/>
      <c r="I263" s="30" t="s">
        <v>57</v>
      </c>
    </row>
    <row r="264" spans="1:9" ht="12.75" outlineLevel="1">
      <c r="A264" s="21" t="s">
        <v>25</v>
      </c>
      <c r="B264" s="77">
        <v>23</v>
      </c>
      <c r="C264" s="16"/>
      <c r="D264" s="78"/>
      <c r="E264" s="78" t="s">
        <v>57</v>
      </c>
      <c r="F264" s="78" t="s">
        <v>57</v>
      </c>
      <c r="G264" s="78" t="s">
        <v>57</v>
      </c>
      <c r="H264" s="78"/>
      <c r="I264" s="78" t="s">
        <v>57</v>
      </c>
    </row>
    <row r="265" spans="1:9" ht="25.5" outlineLevel="1">
      <c r="A265" s="21" t="s">
        <v>81</v>
      </c>
      <c r="B265" s="77"/>
      <c r="C265" s="16">
        <v>410</v>
      </c>
      <c r="D265" s="78"/>
      <c r="E265" s="78"/>
      <c r="F265" s="78"/>
      <c r="G265" s="78"/>
      <c r="H265" s="78"/>
      <c r="I265" s="78"/>
    </row>
    <row r="266" spans="1:9" ht="12.75" outlineLevel="1">
      <c r="A266" s="76" t="s">
        <v>82</v>
      </c>
      <c r="B266" s="77">
        <v>24</v>
      </c>
      <c r="C266" s="16"/>
      <c r="D266" s="78"/>
      <c r="E266" s="78" t="s">
        <v>57</v>
      </c>
      <c r="F266" s="78" t="s">
        <v>57</v>
      </c>
      <c r="G266" s="78" t="s">
        <v>57</v>
      </c>
      <c r="H266" s="78"/>
      <c r="I266" s="78" t="s">
        <v>57</v>
      </c>
    </row>
    <row r="267" spans="1:9" ht="12.75" outlineLevel="1">
      <c r="A267" s="76"/>
      <c r="B267" s="77"/>
      <c r="C267" s="16">
        <v>420</v>
      </c>
      <c r="D267" s="78"/>
      <c r="E267" s="78"/>
      <c r="F267" s="78"/>
      <c r="G267" s="78"/>
      <c r="H267" s="78"/>
      <c r="I267" s="78"/>
    </row>
    <row r="268" spans="1:9" ht="12.75" outlineLevel="1">
      <c r="A268" s="76" t="s">
        <v>83</v>
      </c>
      <c r="B268" s="77">
        <v>25</v>
      </c>
      <c r="C268" s="16"/>
      <c r="D268" s="78"/>
      <c r="E268" s="78" t="s">
        <v>57</v>
      </c>
      <c r="F268" s="78" t="s">
        <v>57</v>
      </c>
      <c r="G268" s="78" t="s">
        <v>57</v>
      </c>
      <c r="H268" s="78"/>
      <c r="I268" s="78" t="s">
        <v>57</v>
      </c>
    </row>
    <row r="269" spans="1:9" ht="12.75" outlineLevel="1">
      <c r="A269" s="76"/>
      <c r="B269" s="77"/>
      <c r="C269" s="16">
        <v>440</v>
      </c>
      <c r="D269" s="78"/>
      <c r="E269" s="78"/>
      <c r="F269" s="78"/>
      <c r="G269" s="78"/>
      <c r="H269" s="78"/>
      <c r="I269" s="78"/>
    </row>
    <row r="270" spans="1:9" ht="25.5" outlineLevel="1">
      <c r="A270" s="21" t="s">
        <v>84</v>
      </c>
      <c r="B270" s="22">
        <v>26</v>
      </c>
      <c r="C270" s="16">
        <v>620</v>
      </c>
      <c r="D270" s="30"/>
      <c r="E270" s="30" t="s">
        <v>57</v>
      </c>
      <c r="F270" s="30" t="s">
        <v>57</v>
      </c>
      <c r="G270" s="30" t="s">
        <v>57</v>
      </c>
      <c r="H270" s="30"/>
      <c r="I270" s="30" t="s">
        <v>57</v>
      </c>
    </row>
    <row r="271" spans="1:9" ht="12.75" outlineLevel="1">
      <c r="A271" s="17" t="s">
        <v>85</v>
      </c>
      <c r="B271" s="22">
        <v>27</v>
      </c>
      <c r="C271" s="16">
        <v>180</v>
      </c>
      <c r="D271" s="30"/>
      <c r="E271" s="30" t="s">
        <v>57</v>
      </c>
      <c r="F271" s="30" t="s">
        <v>57</v>
      </c>
      <c r="G271" s="30" t="s">
        <v>57</v>
      </c>
      <c r="H271" s="30"/>
      <c r="I271" s="30"/>
    </row>
    <row r="272" spans="1:9" ht="12.75" outlineLevel="1">
      <c r="A272" s="25" t="s">
        <v>86</v>
      </c>
      <c r="B272" s="22">
        <v>28</v>
      </c>
      <c r="C272" s="16" t="s">
        <v>57</v>
      </c>
      <c r="D272" s="55">
        <f>E272+F272+G272+H272</f>
        <v>97302519.64000002</v>
      </c>
      <c r="E272" s="58">
        <f>E273+E287+E307+E314+E302</f>
        <v>90726593.82000002</v>
      </c>
      <c r="F272" s="58">
        <f>F273+F307+F314+F302</f>
        <v>4163310.25</v>
      </c>
      <c r="G272" s="58">
        <f>G273+G287+G307+G314+G302</f>
        <v>0</v>
      </c>
      <c r="H272" s="58">
        <f>H273+H297+H302+H307+H314+H300</f>
        <v>2412615.5700000003</v>
      </c>
      <c r="I272" s="58"/>
    </row>
    <row r="273" spans="1:9" ht="12.75" outlineLevel="1">
      <c r="A273" s="17" t="s">
        <v>42</v>
      </c>
      <c r="B273" s="77">
        <v>29</v>
      </c>
      <c r="C273" s="16"/>
      <c r="D273" s="83">
        <f>E273+F273+G273+H273</f>
        <v>78732784.72000001</v>
      </c>
      <c r="E273" s="83">
        <f>E275+E282+E283+E284</f>
        <v>77544188.42000002</v>
      </c>
      <c r="F273" s="83">
        <f>F275+F282+F283+F284</f>
        <v>183596.3</v>
      </c>
      <c r="G273" s="83">
        <f>G275+G282+G283+G284</f>
        <v>0</v>
      </c>
      <c r="H273" s="83">
        <f>H275+H282+H283+H284</f>
        <v>1005000</v>
      </c>
      <c r="I273" s="83"/>
    </row>
    <row r="274" spans="1:9" ht="12.75" outlineLevel="1">
      <c r="A274" s="17" t="s">
        <v>87</v>
      </c>
      <c r="B274" s="77"/>
      <c r="C274" s="16">
        <v>100</v>
      </c>
      <c r="D274" s="83"/>
      <c r="E274" s="83"/>
      <c r="F274" s="83"/>
      <c r="G274" s="83"/>
      <c r="H274" s="83"/>
      <c r="I274" s="83"/>
    </row>
    <row r="275" spans="1:9" ht="12.75" outlineLevel="1">
      <c r="A275" s="21" t="s">
        <v>25</v>
      </c>
      <c r="B275" s="77">
        <v>30</v>
      </c>
      <c r="C275" s="16"/>
      <c r="D275" s="78">
        <f>E275+F275+G275+H275</f>
        <v>62700603.66000001</v>
      </c>
      <c r="E275" s="82">
        <f>E278+E279+E280+E281</f>
        <v>61940603.66000001</v>
      </c>
      <c r="F275" s="78">
        <f>F277+F279+F280+F281</f>
        <v>0</v>
      </c>
      <c r="G275" s="78">
        <f>G277+G279+G280+G281</f>
        <v>0</v>
      </c>
      <c r="H275" s="82">
        <f>H278+H279+H280+H281</f>
        <v>760000</v>
      </c>
      <c r="I275" s="78"/>
    </row>
    <row r="276" spans="1:9" ht="12.75" outlineLevel="1">
      <c r="A276" s="21" t="s">
        <v>88</v>
      </c>
      <c r="B276" s="77"/>
      <c r="C276" s="16">
        <v>111</v>
      </c>
      <c r="D276" s="78"/>
      <c r="E276" s="82"/>
      <c r="F276" s="78"/>
      <c r="G276" s="78"/>
      <c r="H276" s="82"/>
      <c r="I276" s="78"/>
    </row>
    <row r="277" spans="1:9" ht="12.75" outlineLevel="1">
      <c r="A277" s="17" t="s">
        <v>42</v>
      </c>
      <c r="B277" s="77">
        <v>31</v>
      </c>
      <c r="C277" s="16"/>
      <c r="D277" s="78">
        <f>E277+F277+G277+H277</f>
        <v>0</v>
      </c>
      <c r="E277" s="28"/>
      <c r="F277" s="78"/>
      <c r="G277" s="78"/>
      <c r="H277" s="28"/>
      <c r="I277" s="78"/>
    </row>
    <row r="278" spans="1:9" ht="12.75" outlineLevel="1">
      <c r="A278" s="17" t="s">
        <v>89</v>
      </c>
      <c r="B278" s="77"/>
      <c r="C278" s="16">
        <v>111</v>
      </c>
      <c r="D278" s="78"/>
      <c r="E278" s="28">
        <v>46383517.38</v>
      </c>
      <c r="F278" s="78"/>
      <c r="G278" s="78"/>
      <c r="H278" s="28">
        <v>697000</v>
      </c>
      <c r="I278" s="78"/>
    </row>
    <row r="279" spans="1:9" ht="12.75" outlineLevel="1">
      <c r="A279" s="17" t="s">
        <v>90</v>
      </c>
      <c r="B279" s="22">
        <v>32</v>
      </c>
      <c r="C279" s="16">
        <v>111</v>
      </c>
      <c r="D279" s="54">
        <f>E279+F279+G279+H279</f>
        <v>2503420.16</v>
      </c>
      <c r="E279" s="30">
        <v>2503420.16</v>
      </c>
      <c r="F279" s="30"/>
      <c r="G279" s="30"/>
      <c r="H279" s="30"/>
      <c r="I279" s="30"/>
    </row>
    <row r="280" spans="1:9" ht="25.5" outlineLevel="1">
      <c r="A280" s="17" t="s">
        <v>91</v>
      </c>
      <c r="B280" s="22">
        <v>33</v>
      </c>
      <c r="C280" s="16">
        <v>111</v>
      </c>
      <c r="D280" s="81">
        <f>E280+F280+G280+H280</f>
        <v>6890195.46</v>
      </c>
      <c r="E280" s="30">
        <v>6890195.46</v>
      </c>
      <c r="F280" s="30"/>
      <c r="G280" s="30"/>
      <c r="H280" s="30"/>
      <c r="I280" s="30"/>
    </row>
    <row r="281" spans="1:9" ht="12.75" outlineLevel="1">
      <c r="A281" s="17" t="s">
        <v>92</v>
      </c>
      <c r="B281" s="22">
        <v>34</v>
      </c>
      <c r="C281" s="16">
        <v>111</v>
      </c>
      <c r="D281" s="81"/>
      <c r="E281" s="30">
        <v>6163470.66</v>
      </c>
      <c r="F281" s="30">
        <f>27775-27775</f>
        <v>0</v>
      </c>
      <c r="G281" s="30"/>
      <c r="H281" s="30">
        <v>63000</v>
      </c>
      <c r="I281" s="30"/>
    </row>
    <row r="282" spans="1:9" ht="25.5" outlineLevel="1">
      <c r="A282" s="17" t="s">
        <v>93</v>
      </c>
      <c r="B282" s="22">
        <v>35</v>
      </c>
      <c r="C282" s="16">
        <v>112</v>
      </c>
      <c r="D282" s="54">
        <f>E282+F282+G282+H282</f>
        <v>344422.25</v>
      </c>
      <c r="E282" s="30">
        <f>131465.95+4200+3360-4200</f>
        <v>134825.95</v>
      </c>
      <c r="F282" s="30">
        <f>176876.3+2520+4200</f>
        <v>183596.3</v>
      </c>
      <c r="G282" s="30"/>
      <c r="H282" s="30">
        <v>26000</v>
      </c>
      <c r="I282" s="30"/>
    </row>
    <row r="283" spans="1:9" ht="51" outlineLevel="1">
      <c r="A283" s="17" t="s">
        <v>94</v>
      </c>
      <c r="B283" s="22">
        <v>36</v>
      </c>
      <c r="C283" s="16">
        <v>113</v>
      </c>
      <c r="D283" s="54">
        <f>E283+F283+G283+H283</f>
        <v>0</v>
      </c>
      <c r="E283" s="30"/>
      <c r="F283" s="30"/>
      <c r="G283" s="30"/>
      <c r="H283" s="30"/>
      <c r="I283" s="30"/>
    </row>
    <row r="284" spans="1:9" ht="12.75" outlineLevel="1">
      <c r="A284" s="72" t="s">
        <v>95</v>
      </c>
      <c r="B284" s="77">
        <v>37</v>
      </c>
      <c r="C284" s="16"/>
      <c r="D284" s="81">
        <f>SUM(E284:H286)</f>
        <v>15687758.81</v>
      </c>
      <c r="E284" s="78">
        <v>15468758.81</v>
      </c>
      <c r="F284" s="78">
        <f>8388-8388</f>
        <v>0</v>
      </c>
      <c r="G284" s="78"/>
      <c r="H284" s="78">
        <v>219000</v>
      </c>
      <c r="I284" s="78"/>
    </row>
    <row r="285" spans="1:9" ht="12.75" outlineLevel="1">
      <c r="A285" s="72"/>
      <c r="B285" s="77"/>
      <c r="C285" s="16"/>
      <c r="D285" s="81"/>
      <c r="E285" s="78"/>
      <c r="F285" s="78"/>
      <c r="G285" s="78"/>
      <c r="H285" s="78"/>
      <c r="I285" s="78"/>
    </row>
    <row r="286" spans="1:9" ht="12.75" outlineLevel="1">
      <c r="A286" s="72"/>
      <c r="B286" s="77"/>
      <c r="C286" s="16">
        <v>119</v>
      </c>
      <c r="D286" s="81"/>
      <c r="E286" s="78"/>
      <c r="F286" s="78"/>
      <c r="G286" s="78"/>
      <c r="H286" s="78"/>
      <c r="I286" s="78"/>
    </row>
    <row r="287" spans="1:9" ht="25.5" outlineLevel="1">
      <c r="A287" s="21" t="s">
        <v>96</v>
      </c>
      <c r="B287" s="22">
        <v>38</v>
      </c>
      <c r="C287" s="16">
        <v>300</v>
      </c>
      <c r="D287" s="55">
        <f>E287+F287+G287+H287</f>
        <v>0</v>
      </c>
      <c r="E287" s="58">
        <f>E288+E290+E294+E295+E296</f>
        <v>0</v>
      </c>
      <c r="F287" s="58">
        <f>F288+F290+F294+F295+F296+F292</f>
        <v>0</v>
      </c>
      <c r="G287" s="58">
        <f>G288+G290</f>
        <v>0</v>
      </c>
      <c r="H287" s="58">
        <f>H288+H290+H294+H295+H296</f>
        <v>0</v>
      </c>
      <c r="I287" s="58"/>
    </row>
    <row r="288" spans="1:9" ht="12.75" outlineLevel="1">
      <c r="A288" s="21" t="s">
        <v>25</v>
      </c>
      <c r="B288" s="77">
        <v>39</v>
      </c>
      <c r="C288" s="86">
        <v>320</v>
      </c>
      <c r="D288" s="78">
        <v>0</v>
      </c>
      <c r="E288" s="78"/>
      <c r="F288" s="78"/>
      <c r="G288" s="78"/>
      <c r="H288" s="78"/>
      <c r="I288" s="78"/>
    </row>
    <row r="289" spans="1:9" ht="38.25" outlineLevel="1">
      <c r="A289" s="21" t="s">
        <v>97</v>
      </c>
      <c r="B289" s="77"/>
      <c r="C289" s="86"/>
      <c r="D289" s="78"/>
      <c r="E289" s="78"/>
      <c r="F289" s="78"/>
      <c r="G289" s="78"/>
      <c r="H289" s="78"/>
      <c r="I289" s="78"/>
    </row>
    <row r="290" spans="1:9" ht="12.75" outlineLevel="1">
      <c r="A290" s="21" t="s">
        <v>25</v>
      </c>
      <c r="B290" s="77">
        <v>40</v>
      </c>
      <c r="C290" s="16"/>
      <c r="D290" s="28"/>
      <c r="E290" s="28"/>
      <c r="F290" s="28"/>
      <c r="G290" s="28"/>
      <c r="H290" s="28"/>
      <c r="I290" s="28"/>
    </row>
    <row r="291" spans="1:9" ht="51" outlineLevel="1">
      <c r="A291" s="21" t="s">
        <v>98</v>
      </c>
      <c r="B291" s="77"/>
      <c r="C291" s="16"/>
      <c r="D291" s="28"/>
      <c r="E291" s="28"/>
      <c r="F291" s="28"/>
      <c r="G291" s="28"/>
      <c r="H291" s="28"/>
      <c r="I291" s="28"/>
    </row>
    <row r="292" spans="1:9" ht="38.25" outlineLevel="1">
      <c r="A292" s="21" t="s">
        <v>209</v>
      </c>
      <c r="B292" s="77"/>
      <c r="C292" s="16">
        <v>323</v>
      </c>
      <c r="D292" s="28">
        <f>SUM(E292:H295)</f>
        <v>0</v>
      </c>
      <c r="E292" s="28"/>
      <c r="F292" s="28"/>
      <c r="G292" s="28"/>
      <c r="H292" s="28"/>
      <c r="I292" s="28"/>
    </row>
    <row r="293" spans="1:9" ht="12.75" outlineLevel="1">
      <c r="A293" s="19"/>
      <c r="B293" s="77"/>
      <c r="C293" s="16">
        <v>321</v>
      </c>
      <c r="D293" s="49"/>
      <c r="E293" s="49"/>
      <c r="F293" s="49"/>
      <c r="G293" s="49"/>
      <c r="H293" s="28"/>
      <c r="I293" s="49"/>
    </row>
    <row r="294" spans="1:9" ht="12.75" outlineLevel="1">
      <c r="A294" s="21" t="s">
        <v>99</v>
      </c>
      <c r="B294" s="22">
        <v>41</v>
      </c>
      <c r="C294" s="16">
        <v>340</v>
      </c>
      <c r="D294" s="54">
        <f>E294+F294+H294</f>
        <v>0</v>
      </c>
      <c r="E294" s="30"/>
      <c r="F294" s="30"/>
      <c r="G294" s="30" t="s">
        <v>57</v>
      </c>
      <c r="H294" s="30"/>
      <c r="I294" s="30"/>
    </row>
    <row r="295" spans="1:9" ht="12.75" outlineLevel="1">
      <c r="A295" s="21" t="s">
        <v>100</v>
      </c>
      <c r="B295" s="22">
        <v>42</v>
      </c>
      <c r="C295" s="16">
        <v>350</v>
      </c>
      <c r="D295" s="54">
        <f>E295+F295+H295</f>
        <v>0</v>
      </c>
      <c r="E295" s="30"/>
      <c r="F295" s="30"/>
      <c r="G295" s="30" t="s">
        <v>57</v>
      </c>
      <c r="H295" s="30"/>
      <c r="I295" s="30"/>
    </row>
    <row r="296" spans="1:9" ht="12.75" outlineLevel="1">
      <c r="A296" s="21" t="s">
        <v>101</v>
      </c>
      <c r="B296" s="22">
        <v>43</v>
      </c>
      <c r="C296" s="16">
        <v>360</v>
      </c>
      <c r="D296" s="54">
        <f>E296+F296+H296</f>
        <v>0</v>
      </c>
      <c r="E296" s="30"/>
      <c r="F296" s="30"/>
      <c r="G296" s="30" t="s">
        <v>57</v>
      </c>
      <c r="H296" s="30"/>
      <c r="I296" s="30"/>
    </row>
    <row r="297" spans="1:9" ht="12.75" outlineLevel="1">
      <c r="A297" s="21" t="s">
        <v>102</v>
      </c>
      <c r="B297" s="22">
        <v>44</v>
      </c>
      <c r="C297" s="16">
        <v>830</v>
      </c>
      <c r="D297" s="54"/>
      <c r="E297" s="59"/>
      <c r="F297" s="59"/>
      <c r="G297" s="59" t="s">
        <v>57</v>
      </c>
      <c r="H297" s="58">
        <f>SUM(H298)</f>
        <v>0</v>
      </c>
      <c r="I297" s="59"/>
    </row>
    <row r="298" spans="1:9" ht="12.75" outlineLevel="1">
      <c r="A298" s="21" t="s">
        <v>25</v>
      </c>
      <c r="B298" s="77">
        <v>45</v>
      </c>
      <c r="C298" s="16"/>
      <c r="D298" s="78">
        <f>SUM(E298:H301)</f>
        <v>0</v>
      </c>
      <c r="E298" s="78"/>
      <c r="F298" s="78"/>
      <c r="G298" s="78" t="s">
        <v>57</v>
      </c>
      <c r="H298" s="84"/>
      <c r="I298" s="78"/>
    </row>
    <row r="299" spans="1:9" ht="51" outlineLevel="1">
      <c r="A299" s="21" t="s">
        <v>103</v>
      </c>
      <c r="B299" s="77"/>
      <c r="C299" s="16"/>
      <c r="D299" s="78"/>
      <c r="E299" s="78"/>
      <c r="F299" s="78"/>
      <c r="G299" s="78"/>
      <c r="H299" s="85"/>
      <c r="I299" s="78"/>
    </row>
    <row r="300" spans="1:9" ht="12.75" outlineLevel="1">
      <c r="A300" s="19"/>
      <c r="B300" s="77"/>
      <c r="C300" s="16"/>
      <c r="D300" s="78"/>
      <c r="E300" s="78"/>
      <c r="F300" s="78"/>
      <c r="G300" s="78"/>
      <c r="H300" s="49"/>
      <c r="I300" s="78"/>
    </row>
    <row r="301" spans="1:9" ht="12.75" outlineLevel="1">
      <c r="A301" s="19"/>
      <c r="B301" s="77"/>
      <c r="C301" s="16">
        <v>831</v>
      </c>
      <c r="D301" s="78"/>
      <c r="E301" s="78"/>
      <c r="F301" s="78"/>
      <c r="G301" s="78"/>
      <c r="H301" s="49"/>
      <c r="I301" s="78"/>
    </row>
    <row r="302" spans="1:9" ht="25.5" outlineLevel="1">
      <c r="A302" s="21" t="s">
        <v>104</v>
      </c>
      <c r="B302" s="22">
        <v>46</v>
      </c>
      <c r="C302" s="16">
        <v>850</v>
      </c>
      <c r="D302" s="55">
        <f>E302+F302+H302</f>
        <v>4253124.68</v>
      </c>
      <c r="E302" s="58">
        <f>E303+E307+E308+E310+E311</f>
        <v>4236124.68</v>
      </c>
      <c r="F302" s="58">
        <f>F303+F307+F308+F310+F311</f>
        <v>0</v>
      </c>
      <c r="G302" s="30"/>
      <c r="H302" s="58">
        <f>SUM(H303:H306)</f>
        <v>17000</v>
      </c>
      <c r="I302" s="58"/>
    </row>
    <row r="303" spans="1:9" ht="12.75" outlineLevel="1">
      <c r="A303" s="21" t="s">
        <v>25</v>
      </c>
      <c r="B303" s="77">
        <v>47</v>
      </c>
      <c r="C303" s="16"/>
      <c r="D303" s="78">
        <f>E303+F303+H303</f>
        <v>4253124.68</v>
      </c>
      <c r="E303" s="78">
        <v>4236124.68</v>
      </c>
      <c r="F303" s="78"/>
      <c r="G303" s="78" t="s">
        <v>57</v>
      </c>
      <c r="H303" s="78">
        <v>17000</v>
      </c>
      <c r="I303" s="78"/>
    </row>
    <row r="304" spans="1:9" ht="25.5" outlineLevel="1">
      <c r="A304" s="21" t="s">
        <v>105</v>
      </c>
      <c r="B304" s="77"/>
      <c r="C304" s="16">
        <v>851</v>
      </c>
      <c r="D304" s="78"/>
      <c r="E304" s="78"/>
      <c r="F304" s="78"/>
      <c r="G304" s="78"/>
      <c r="H304" s="78"/>
      <c r="I304" s="78"/>
    </row>
    <row r="305" spans="1:9" ht="12.75" outlineLevel="1">
      <c r="A305" s="21" t="s">
        <v>106</v>
      </c>
      <c r="B305" s="22">
        <v>48</v>
      </c>
      <c r="C305" s="16">
        <v>852</v>
      </c>
      <c r="D305" s="54">
        <f>E305+F305+H305</f>
        <v>0</v>
      </c>
      <c r="E305" s="30"/>
      <c r="F305" s="30"/>
      <c r="G305" s="30" t="s">
        <v>57</v>
      </c>
      <c r="H305" s="30"/>
      <c r="I305" s="30"/>
    </row>
    <row r="306" spans="1:9" ht="12.75" outlineLevel="1">
      <c r="A306" s="17" t="s">
        <v>107</v>
      </c>
      <c r="B306" s="22">
        <v>49</v>
      </c>
      <c r="C306" s="16">
        <v>853</v>
      </c>
      <c r="D306" s="54">
        <f>E306+F306+H306</f>
        <v>0</v>
      </c>
      <c r="E306" s="30"/>
      <c r="F306" s="30"/>
      <c r="G306" s="30" t="s">
        <v>57</v>
      </c>
      <c r="H306" s="30"/>
      <c r="I306" s="30"/>
    </row>
    <row r="307" spans="1:9" ht="12.75" outlineLevel="1">
      <c r="A307" s="76" t="s">
        <v>108</v>
      </c>
      <c r="B307" s="77">
        <v>50</v>
      </c>
      <c r="C307" s="16"/>
      <c r="D307" s="83">
        <f>SUM(E307:H308)</f>
        <v>0</v>
      </c>
      <c r="E307" s="83">
        <f>E309+E312</f>
        <v>0</v>
      </c>
      <c r="F307" s="83">
        <f>F309+F312</f>
        <v>0</v>
      </c>
      <c r="G307" s="83">
        <f>G309+G312</f>
        <v>0</v>
      </c>
      <c r="H307" s="83">
        <f>H309+H312</f>
        <v>0</v>
      </c>
      <c r="I307" s="83"/>
    </row>
    <row r="308" spans="1:9" ht="12.75" outlineLevel="1">
      <c r="A308" s="76"/>
      <c r="B308" s="77"/>
      <c r="C308" s="16">
        <v>400</v>
      </c>
      <c r="D308" s="83"/>
      <c r="E308" s="83"/>
      <c r="F308" s="83"/>
      <c r="G308" s="83"/>
      <c r="H308" s="83"/>
      <c r="I308" s="83"/>
    </row>
    <row r="309" spans="1:9" ht="12.75" outlineLevel="1">
      <c r="A309" s="21" t="s">
        <v>25</v>
      </c>
      <c r="B309" s="77">
        <v>51</v>
      </c>
      <c r="C309" s="16"/>
      <c r="D309" s="78">
        <f>SUM(E309:H311)</f>
        <v>0</v>
      </c>
      <c r="E309" s="78"/>
      <c r="F309" s="78"/>
      <c r="G309" s="78"/>
      <c r="H309" s="78"/>
      <c r="I309" s="78"/>
    </row>
    <row r="310" spans="1:9" ht="38.25" outlineLevel="1">
      <c r="A310" s="21" t="s">
        <v>109</v>
      </c>
      <c r="B310" s="77"/>
      <c r="C310" s="16"/>
      <c r="D310" s="78"/>
      <c r="E310" s="78"/>
      <c r="F310" s="78"/>
      <c r="G310" s="78"/>
      <c r="H310" s="78"/>
      <c r="I310" s="78"/>
    </row>
    <row r="311" spans="1:9" ht="12.75" outlineLevel="1">
      <c r="A311" s="21"/>
      <c r="B311" s="77"/>
      <c r="C311" s="16">
        <v>416</v>
      </c>
      <c r="D311" s="78"/>
      <c r="E311" s="78"/>
      <c r="F311" s="78"/>
      <c r="G311" s="78"/>
      <c r="H311" s="78"/>
      <c r="I311" s="78"/>
    </row>
    <row r="312" spans="1:9" ht="12.75" outlineLevel="1">
      <c r="A312" s="72" t="s">
        <v>110</v>
      </c>
      <c r="B312" s="77">
        <v>52</v>
      </c>
      <c r="C312" s="16"/>
      <c r="D312" s="78">
        <f>SUM(E312:H313)</f>
        <v>0</v>
      </c>
      <c r="E312" s="78"/>
      <c r="F312" s="78"/>
      <c r="G312" s="78"/>
      <c r="H312" s="78"/>
      <c r="I312" s="78"/>
    </row>
    <row r="313" spans="1:9" ht="12.75" outlineLevel="1">
      <c r="A313" s="72"/>
      <c r="B313" s="77"/>
      <c r="C313" s="16">
        <v>417</v>
      </c>
      <c r="D313" s="78"/>
      <c r="E313" s="78"/>
      <c r="F313" s="78"/>
      <c r="G313" s="78"/>
      <c r="H313" s="78"/>
      <c r="I313" s="78"/>
    </row>
    <row r="314" spans="1:9" ht="12.75" outlineLevel="1">
      <c r="A314" s="21" t="s">
        <v>111</v>
      </c>
      <c r="B314" s="22">
        <v>53</v>
      </c>
      <c r="C314" s="16">
        <v>200</v>
      </c>
      <c r="D314" s="55">
        <f>SUM(E314:H314)</f>
        <v>14316610.240000002</v>
      </c>
      <c r="E314" s="58">
        <f>E319</f>
        <v>8946280.72</v>
      </c>
      <c r="F314" s="58">
        <f>F319+F318</f>
        <v>3979713.95</v>
      </c>
      <c r="G314" s="58">
        <f>G319</f>
        <v>0</v>
      </c>
      <c r="H314" s="58">
        <f>H319</f>
        <v>1390615.57</v>
      </c>
      <c r="I314" s="58"/>
    </row>
    <row r="315" spans="1:9" ht="12.75" outlineLevel="1">
      <c r="A315" s="21" t="s">
        <v>25</v>
      </c>
      <c r="B315" s="77">
        <v>54</v>
      </c>
      <c r="C315" s="16"/>
      <c r="D315" s="78">
        <f>SUM(E315:H317)</f>
        <v>0</v>
      </c>
      <c r="E315" s="78"/>
      <c r="F315" s="78"/>
      <c r="G315" s="78"/>
      <c r="H315" s="78"/>
      <c r="I315" s="78"/>
    </row>
    <row r="316" spans="1:9" ht="25.5" outlineLevel="1">
      <c r="A316" s="21" t="s">
        <v>112</v>
      </c>
      <c r="B316" s="77"/>
      <c r="C316" s="16"/>
      <c r="D316" s="78"/>
      <c r="E316" s="78"/>
      <c r="F316" s="78"/>
      <c r="G316" s="78"/>
      <c r="H316" s="78"/>
      <c r="I316" s="78"/>
    </row>
    <row r="317" spans="1:9" ht="12.75" outlineLevel="1">
      <c r="A317" s="19"/>
      <c r="B317" s="77"/>
      <c r="C317" s="16">
        <v>243</v>
      </c>
      <c r="D317" s="78"/>
      <c r="E317" s="78"/>
      <c r="F317" s="78"/>
      <c r="G317" s="78"/>
      <c r="H317" s="78"/>
      <c r="I317" s="78"/>
    </row>
    <row r="318" spans="1:9" ht="12.75" outlineLevel="1">
      <c r="A318" s="76" t="s">
        <v>113</v>
      </c>
      <c r="B318" s="77">
        <v>55</v>
      </c>
      <c r="C318" s="16">
        <v>323</v>
      </c>
      <c r="D318" s="79">
        <f>SUM(E318:H319)</f>
        <v>14316610.24</v>
      </c>
      <c r="E318" s="41"/>
      <c r="F318" s="28">
        <v>573290.7</v>
      </c>
      <c r="G318" s="28">
        <f>SUM(G320:G331)</f>
        <v>0</v>
      </c>
      <c r="H318" s="39"/>
      <c r="I318" s="78"/>
    </row>
    <row r="319" spans="1:9" ht="12.75" outlineLevel="1">
      <c r="A319" s="76"/>
      <c r="B319" s="77"/>
      <c r="C319" s="16">
        <v>244</v>
      </c>
      <c r="D319" s="80"/>
      <c r="E319" s="41">
        <f>SUM(E320:E331)</f>
        <v>8946280.72</v>
      </c>
      <c r="F319" s="41">
        <f>SUM(F320:F331)</f>
        <v>3406423.25</v>
      </c>
      <c r="G319" s="41">
        <f>SUM(G320:G330)</f>
        <v>0</v>
      </c>
      <c r="H319" s="45">
        <f>SUM(H320:H330)</f>
        <v>1390615.57</v>
      </c>
      <c r="I319" s="78"/>
    </row>
    <row r="320" spans="1:9" ht="12.75" outlineLevel="1">
      <c r="A320" s="21" t="s">
        <v>25</v>
      </c>
      <c r="B320" s="77">
        <v>56</v>
      </c>
      <c r="C320" s="16"/>
      <c r="D320" s="78">
        <f>E320+F320+H320</f>
        <v>180000</v>
      </c>
      <c r="E320" s="82">
        <v>180000</v>
      </c>
      <c r="F320" s="78"/>
      <c r="G320" s="78" t="s">
        <v>57</v>
      </c>
      <c r="H320" s="78"/>
      <c r="I320" s="78"/>
    </row>
    <row r="321" spans="1:9" ht="12.75" outlineLevel="1">
      <c r="A321" s="21" t="s">
        <v>114</v>
      </c>
      <c r="B321" s="77"/>
      <c r="C321" s="16">
        <v>244</v>
      </c>
      <c r="D321" s="78"/>
      <c r="E321" s="82"/>
      <c r="F321" s="78"/>
      <c r="G321" s="78"/>
      <c r="H321" s="78"/>
      <c r="I321" s="78"/>
    </row>
    <row r="322" spans="1:9" ht="12.75" outlineLevel="1">
      <c r="A322" s="21" t="s">
        <v>115</v>
      </c>
      <c r="B322" s="22">
        <v>57</v>
      </c>
      <c r="C322" s="16">
        <v>244</v>
      </c>
      <c r="D322" s="30">
        <f>SUM(E322:H322)</f>
        <v>0</v>
      </c>
      <c r="E322" s="30"/>
      <c r="F322" s="30"/>
      <c r="G322" s="30"/>
      <c r="H322" s="30">
        <f>14200-1700-12500</f>
        <v>0</v>
      </c>
      <c r="I322" s="30"/>
    </row>
    <row r="323" spans="1:9" ht="12.75" outlineLevel="1">
      <c r="A323" s="21" t="s">
        <v>116</v>
      </c>
      <c r="B323" s="22">
        <v>58</v>
      </c>
      <c r="C323" s="16">
        <v>244</v>
      </c>
      <c r="D323" s="30">
        <f>SUM(E323:H323)</f>
        <v>5405735.140000001</v>
      </c>
      <c r="E323" s="30">
        <v>5316119.57</v>
      </c>
      <c r="F323" s="30"/>
      <c r="G323" s="30"/>
      <c r="H323" s="30">
        <v>89615.57</v>
      </c>
      <c r="I323" s="30"/>
    </row>
    <row r="324" spans="1:9" ht="25.5" outlineLevel="1">
      <c r="A324" s="21" t="s">
        <v>117</v>
      </c>
      <c r="B324" s="22">
        <v>59</v>
      </c>
      <c r="C324" s="16">
        <v>244</v>
      </c>
      <c r="D324" s="30">
        <f>E324+F324+H324</f>
        <v>0</v>
      </c>
      <c r="E324" s="30"/>
      <c r="F324" s="30"/>
      <c r="G324" s="30" t="s">
        <v>57</v>
      </c>
      <c r="H324" s="30"/>
      <c r="I324" s="30"/>
    </row>
    <row r="325" spans="1:9" ht="25.5" outlineLevel="1">
      <c r="A325" s="21" t="s">
        <v>118</v>
      </c>
      <c r="B325" s="22">
        <v>60</v>
      </c>
      <c r="C325" s="16">
        <v>244</v>
      </c>
      <c r="D325" s="30">
        <f>SUM(E325:H325)</f>
        <v>3002042.23</v>
      </c>
      <c r="E325" s="30">
        <v>96242.23</v>
      </c>
      <c r="F325" s="30">
        <v>2829800</v>
      </c>
      <c r="G325" s="30"/>
      <c r="H325" s="30">
        <v>76000</v>
      </c>
      <c r="I325" s="30"/>
    </row>
    <row r="326" spans="1:9" ht="12.75" outlineLevel="1">
      <c r="A326" s="21" t="s">
        <v>119</v>
      </c>
      <c r="B326" s="22">
        <v>61</v>
      </c>
      <c r="C326" s="16">
        <v>244</v>
      </c>
      <c r="D326" s="30">
        <f>SUM(E326:H326)</f>
        <v>2737772.17</v>
      </c>
      <c r="E326" s="30">
        <f>1662238.92+34410</f>
        <v>1696648.92</v>
      </c>
      <c r="F326" s="30">
        <f>728662-207538.75</f>
        <v>521123.25</v>
      </c>
      <c r="G326" s="30"/>
      <c r="H326" s="30">
        <v>520000</v>
      </c>
      <c r="I326" s="30"/>
    </row>
    <row r="327" spans="1:9" ht="25.5" outlineLevel="1">
      <c r="A327" s="21" t="s">
        <v>120</v>
      </c>
      <c r="B327" s="22">
        <v>62</v>
      </c>
      <c r="C327" s="16">
        <v>244</v>
      </c>
      <c r="D327" s="30">
        <f>SUM(E327:H327)</f>
        <v>1987770</v>
      </c>
      <c r="E327" s="30">
        <f>1594480+62790</f>
        <v>1657270</v>
      </c>
      <c r="F327" s="30">
        <f>49700-4200</f>
        <v>45500</v>
      </c>
      <c r="G327" s="30"/>
      <c r="H327" s="30">
        <v>285000</v>
      </c>
      <c r="I327" s="30"/>
    </row>
    <row r="328" spans="1:9" ht="12.75" outlineLevel="1">
      <c r="A328" s="76" t="s">
        <v>121</v>
      </c>
      <c r="B328" s="77">
        <v>63</v>
      </c>
      <c r="C328" s="16"/>
      <c r="D328" s="78">
        <f>E328+F328+H328</f>
        <v>0</v>
      </c>
      <c r="E328" s="78"/>
      <c r="F328" s="78"/>
      <c r="G328" s="78" t="s">
        <v>57</v>
      </c>
      <c r="H328" s="78"/>
      <c r="I328" s="78"/>
    </row>
    <row r="329" spans="1:9" ht="12.75" outlineLevel="1">
      <c r="A329" s="76"/>
      <c r="B329" s="77"/>
      <c r="C329" s="16">
        <v>244</v>
      </c>
      <c r="D329" s="78"/>
      <c r="E329" s="78"/>
      <c r="F329" s="78"/>
      <c r="G329" s="78"/>
      <c r="H329" s="78"/>
      <c r="I329" s="78"/>
    </row>
    <row r="330" spans="1:9" ht="25.5" outlineLevel="1">
      <c r="A330" s="17" t="s">
        <v>122</v>
      </c>
      <c r="B330" s="22">
        <v>64</v>
      </c>
      <c r="C330" s="16">
        <v>244</v>
      </c>
      <c r="D330" s="30">
        <f>SUM(E330:H330)</f>
        <v>430000</v>
      </c>
      <c r="E330" s="30"/>
      <c r="F330" s="30">
        <v>10000</v>
      </c>
      <c r="G330" s="30"/>
      <c r="H330" s="30">
        <v>420000</v>
      </c>
      <c r="I330" s="30"/>
    </row>
    <row r="331" spans="1:9" ht="12.75" outlineLevel="1">
      <c r="A331" s="17" t="s">
        <v>123</v>
      </c>
      <c r="B331" s="22">
        <v>65</v>
      </c>
      <c r="C331" s="16" t="s">
        <v>57</v>
      </c>
      <c r="D331" s="30">
        <f>SUM(E331:H331)</f>
        <v>0</v>
      </c>
      <c r="E331" s="30"/>
      <c r="F331" s="30"/>
      <c r="G331" s="30"/>
      <c r="H331" s="30"/>
      <c r="I331" s="30"/>
    </row>
    <row r="332" spans="1:9" ht="12.75" outlineLevel="1">
      <c r="A332" s="17" t="s">
        <v>124</v>
      </c>
      <c r="B332" s="22">
        <v>66</v>
      </c>
      <c r="C332" s="16" t="s">
        <v>57</v>
      </c>
      <c r="D332" s="30">
        <f>SUM(E332:H332)</f>
        <v>0</v>
      </c>
      <c r="E332" s="30">
        <f>E236+E231-E272</f>
        <v>0</v>
      </c>
      <c r="F332" s="30">
        <f>F236+F231-F272</f>
        <v>0</v>
      </c>
      <c r="G332" s="30">
        <f>G236+G231-G272</f>
        <v>0</v>
      </c>
      <c r="H332" s="30">
        <f>H236+H231-H272</f>
        <v>0</v>
      </c>
      <c r="I332" s="30"/>
    </row>
    <row r="1359" ht="12.75"/>
  </sheetData>
  <sheetProtection/>
  <mergeCells count="634">
    <mergeCell ref="F78:F79"/>
    <mergeCell ref="G78:G79"/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I48:I49"/>
    <mergeCell ref="I53:I54"/>
    <mergeCell ref="I55:I56"/>
    <mergeCell ref="B53:B54"/>
    <mergeCell ref="D53:D54"/>
    <mergeCell ref="E53:E54"/>
    <mergeCell ref="F53:F54"/>
    <mergeCell ref="G53:G54"/>
    <mergeCell ref="H53:H54"/>
    <mergeCell ref="B57:B58"/>
    <mergeCell ref="E55:E56"/>
    <mergeCell ref="F55:F56"/>
    <mergeCell ref="G55:G56"/>
    <mergeCell ref="H55:H56"/>
    <mergeCell ref="H48:H49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B68:B69"/>
    <mergeCell ref="C68:C69"/>
    <mergeCell ref="D68:D69"/>
    <mergeCell ref="E68:E69"/>
    <mergeCell ref="F68:F69"/>
    <mergeCell ref="G68:G69"/>
    <mergeCell ref="I64:I66"/>
    <mergeCell ref="H68:H69"/>
    <mergeCell ref="I68:I69"/>
    <mergeCell ref="I78:I81"/>
    <mergeCell ref="I83:I84"/>
    <mergeCell ref="G83:G84"/>
    <mergeCell ref="H78:H79"/>
    <mergeCell ref="B70:B73"/>
    <mergeCell ref="A87:A88"/>
    <mergeCell ref="B87:B88"/>
    <mergeCell ref="D87:D88"/>
    <mergeCell ref="E87:E88"/>
    <mergeCell ref="F83:F84"/>
    <mergeCell ref="B83:B84"/>
    <mergeCell ref="B78:B79"/>
    <mergeCell ref="D78:D79"/>
    <mergeCell ref="E78:E79"/>
    <mergeCell ref="B89:B91"/>
    <mergeCell ref="D89:D91"/>
    <mergeCell ref="D83:D84"/>
    <mergeCell ref="E83:E84"/>
    <mergeCell ref="H83:H84"/>
    <mergeCell ref="H87:H88"/>
    <mergeCell ref="E89:E91"/>
    <mergeCell ref="F87:F88"/>
    <mergeCell ref="G87:G88"/>
    <mergeCell ref="I87:I88"/>
    <mergeCell ref="I89:I91"/>
    <mergeCell ref="H89:H91"/>
    <mergeCell ref="G92:G93"/>
    <mergeCell ref="H92:H93"/>
    <mergeCell ref="I92:I93"/>
    <mergeCell ref="I98:I99"/>
    <mergeCell ref="G89:G91"/>
    <mergeCell ref="E95:E97"/>
    <mergeCell ref="F95:F97"/>
    <mergeCell ref="G95:G97"/>
    <mergeCell ref="H95:H97"/>
    <mergeCell ref="I95:I97"/>
    <mergeCell ref="F89:F91"/>
    <mergeCell ref="E100:E101"/>
    <mergeCell ref="F100:F101"/>
    <mergeCell ref="A98:A99"/>
    <mergeCell ref="B98:B99"/>
    <mergeCell ref="A92:A93"/>
    <mergeCell ref="B92:B93"/>
    <mergeCell ref="D92:D93"/>
    <mergeCell ref="E92:E93"/>
    <mergeCell ref="F92:F93"/>
    <mergeCell ref="D98:D99"/>
    <mergeCell ref="G100:G101"/>
    <mergeCell ref="H100:H101"/>
    <mergeCell ref="I100:I101"/>
    <mergeCell ref="A2:I2"/>
    <mergeCell ref="A3:I3"/>
    <mergeCell ref="A4:I4"/>
    <mergeCell ref="B95:B97"/>
    <mergeCell ref="D95:D97"/>
    <mergeCell ref="B100:B101"/>
    <mergeCell ref="D100:D101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H164:H165"/>
    <mergeCell ref="A159:A160"/>
    <mergeCell ref="B159:B160"/>
    <mergeCell ref="D159:D160"/>
    <mergeCell ref="E159:E160"/>
    <mergeCell ref="F159:F160"/>
    <mergeCell ref="G159:G160"/>
    <mergeCell ref="H166:H167"/>
    <mergeCell ref="H159:H160"/>
    <mergeCell ref="I159:I160"/>
    <mergeCell ref="I164:I165"/>
    <mergeCell ref="I166:I167"/>
    <mergeCell ref="B164:B165"/>
    <mergeCell ref="D164:D165"/>
    <mergeCell ref="E164:E165"/>
    <mergeCell ref="F164:F165"/>
    <mergeCell ref="G164:G165"/>
    <mergeCell ref="B168:B169"/>
    <mergeCell ref="D168:D169"/>
    <mergeCell ref="F168:F169"/>
    <mergeCell ref="G168:G169"/>
    <mergeCell ref="E166:E167"/>
    <mergeCell ref="F166:F167"/>
    <mergeCell ref="G166:G167"/>
    <mergeCell ref="I168:I169"/>
    <mergeCell ref="B166:B167"/>
    <mergeCell ref="D166:D167"/>
    <mergeCell ref="A175:A177"/>
    <mergeCell ref="B175:B177"/>
    <mergeCell ref="D175:D177"/>
    <mergeCell ref="E175:E177"/>
    <mergeCell ref="F175:F177"/>
    <mergeCell ref="G175:G177"/>
    <mergeCell ref="H175:H177"/>
    <mergeCell ref="I175:I177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B181:B184"/>
    <mergeCell ref="B189:B192"/>
    <mergeCell ref="D189:D192"/>
    <mergeCell ref="E189:E192"/>
    <mergeCell ref="F189:F192"/>
    <mergeCell ref="G189:G192"/>
    <mergeCell ref="E194:E195"/>
    <mergeCell ref="F194:F195"/>
    <mergeCell ref="G194:G195"/>
    <mergeCell ref="H194:H195"/>
    <mergeCell ref="I189:I192"/>
    <mergeCell ref="I194:I195"/>
    <mergeCell ref="H189:H190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D194:D195"/>
    <mergeCell ref="A203:A204"/>
    <mergeCell ref="B203:B204"/>
    <mergeCell ref="D203:D204"/>
    <mergeCell ref="E203:E204"/>
    <mergeCell ref="F203:F204"/>
    <mergeCell ref="G203:G204"/>
    <mergeCell ref="D206:D208"/>
    <mergeCell ref="E206:E208"/>
    <mergeCell ref="F206:F208"/>
    <mergeCell ref="G206:G208"/>
    <mergeCell ref="H206:H208"/>
    <mergeCell ref="I200:I202"/>
    <mergeCell ref="H203:H204"/>
    <mergeCell ref="I203:I204"/>
    <mergeCell ref="I211:I212"/>
    <mergeCell ref="I206:I208"/>
    <mergeCell ref="A209:A210"/>
    <mergeCell ref="B209:B210"/>
    <mergeCell ref="D209:D210"/>
    <mergeCell ref="B206:B208"/>
    <mergeCell ref="B211:B212"/>
    <mergeCell ref="D211:D212"/>
    <mergeCell ref="E211:E212"/>
    <mergeCell ref="F211:F212"/>
    <mergeCell ref="G211:G212"/>
    <mergeCell ref="H211:H212"/>
    <mergeCell ref="A116:I116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I209:I21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7:F278"/>
    <mergeCell ref="A268:A269"/>
    <mergeCell ref="B268:B269"/>
    <mergeCell ref="D268:D269"/>
    <mergeCell ref="E268:E269"/>
    <mergeCell ref="B273:B274"/>
    <mergeCell ref="D273:D274"/>
    <mergeCell ref="B298:B301"/>
    <mergeCell ref="I284:I286"/>
    <mergeCell ref="G275:G276"/>
    <mergeCell ref="H275:H276"/>
    <mergeCell ref="I275:I276"/>
    <mergeCell ref="G277:G278"/>
    <mergeCell ref="I277:I278"/>
    <mergeCell ref="G284:G286"/>
    <mergeCell ref="H284:H286"/>
    <mergeCell ref="F275:F276"/>
    <mergeCell ref="B290:B293"/>
    <mergeCell ref="F320:F321"/>
    <mergeCell ref="G320:G321"/>
    <mergeCell ref="B315:B317"/>
    <mergeCell ref="D315:D317"/>
    <mergeCell ref="E315:E317"/>
    <mergeCell ref="D298:D301"/>
    <mergeCell ref="G307:G308"/>
    <mergeCell ref="E309:E311"/>
    <mergeCell ref="F309:F31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E231:E232"/>
    <mergeCell ref="F231:F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B288:B289"/>
    <mergeCell ref="C288:C289"/>
    <mergeCell ref="D288:D289"/>
    <mergeCell ref="E288:E289"/>
    <mergeCell ref="B275:B276"/>
    <mergeCell ref="D275:D276"/>
    <mergeCell ref="E275:E276"/>
    <mergeCell ref="B277:B278"/>
    <mergeCell ref="D277:D278"/>
    <mergeCell ref="G288:G289"/>
    <mergeCell ref="H288:H289"/>
    <mergeCell ref="I288:I289"/>
    <mergeCell ref="E298:E301"/>
    <mergeCell ref="F298:F301"/>
    <mergeCell ref="G298:G301"/>
    <mergeCell ref="I298:I301"/>
    <mergeCell ref="H298:H299"/>
    <mergeCell ref="I309:I311"/>
    <mergeCell ref="B309:B311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I303:I304"/>
    <mergeCell ref="A307:A308"/>
    <mergeCell ref="B307:B308"/>
    <mergeCell ref="D307:D308"/>
    <mergeCell ref="E307:E308"/>
    <mergeCell ref="F307:F308"/>
    <mergeCell ref="I318:I319"/>
    <mergeCell ref="A312:A313"/>
    <mergeCell ref="B312:B313"/>
    <mergeCell ref="D312:D313"/>
    <mergeCell ref="E312:E313"/>
    <mergeCell ref="H312:H313"/>
    <mergeCell ref="I312:I313"/>
    <mergeCell ref="G312:G313"/>
    <mergeCell ref="I315:I317"/>
    <mergeCell ref="F328:F329"/>
    <mergeCell ref="G328:G329"/>
    <mergeCell ref="H328:H329"/>
    <mergeCell ref="H320:H321"/>
    <mergeCell ref="E328:E329"/>
    <mergeCell ref="I328:I329"/>
    <mergeCell ref="I320:I321"/>
    <mergeCell ref="E320:E321"/>
    <mergeCell ref="D171:D172"/>
    <mergeCell ref="D280:D281"/>
    <mergeCell ref="F315:F317"/>
    <mergeCell ref="G315:G317"/>
    <mergeCell ref="H315:H317"/>
    <mergeCell ref="D309:D311"/>
    <mergeCell ref="F312:F313"/>
    <mergeCell ref="G309:G311"/>
    <mergeCell ref="H309:H311"/>
    <mergeCell ref="F288:F289"/>
    <mergeCell ref="A328:A329"/>
    <mergeCell ref="B328:B329"/>
    <mergeCell ref="D328:D329"/>
    <mergeCell ref="A318:A319"/>
    <mergeCell ref="B318:B319"/>
    <mergeCell ref="D318:D319"/>
    <mergeCell ref="B320:B321"/>
    <mergeCell ref="D320:D321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70" zoomScalePageLayoutView="0" workbookViewId="0" topLeftCell="A38">
      <selection activeCell="G78" sqref="G78:I78"/>
    </sheetView>
  </sheetViews>
  <sheetFormatPr defaultColWidth="9.00390625" defaultRowHeight="12.75"/>
  <cols>
    <col min="1" max="1" width="25.625" style="0" customWidth="1"/>
    <col min="2" max="2" width="6.00390625" style="0" customWidth="1"/>
    <col min="3" max="3" width="7.00390625" style="0" customWidth="1"/>
    <col min="4" max="9" width="16.625" style="0" customWidth="1"/>
    <col min="10" max="12" width="9.25390625" style="0" bestFit="1" customWidth="1"/>
    <col min="13" max="13" width="14.75390625" style="0" customWidth="1"/>
  </cols>
  <sheetData>
    <row r="1" spans="1:12" ht="15.75">
      <c r="A1" s="69" t="s">
        <v>125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.75">
      <c r="A2" s="69" t="s">
        <v>126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118">
        <f>'титульный лист'!C23</f>
        <v>43830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ht="12.75">
      <c r="A4" s="4"/>
    </row>
    <row r="5" spans="1:12" ht="12.75">
      <c r="A5" s="86" t="s">
        <v>22</v>
      </c>
      <c r="B5" s="86" t="s">
        <v>127</v>
      </c>
      <c r="C5" s="86" t="s">
        <v>128</v>
      </c>
      <c r="D5" s="86" t="s">
        <v>129</v>
      </c>
      <c r="E5" s="86"/>
      <c r="F5" s="86"/>
      <c r="G5" s="86"/>
      <c r="H5" s="86"/>
      <c r="I5" s="86"/>
      <c r="J5" s="86"/>
      <c r="K5" s="86"/>
      <c r="L5" s="86"/>
    </row>
    <row r="6" spans="1:12" ht="12.75">
      <c r="A6" s="86"/>
      <c r="B6" s="86"/>
      <c r="C6" s="86"/>
      <c r="D6" s="86" t="s">
        <v>130</v>
      </c>
      <c r="E6" s="86"/>
      <c r="F6" s="86"/>
      <c r="G6" s="86"/>
      <c r="H6" s="86"/>
      <c r="I6" s="86"/>
      <c r="J6" s="86"/>
      <c r="K6" s="86"/>
      <c r="L6" s="86"/>
    </row>
    <row r="7" spans="1:12" ht="12.75">
      <c r="A7" s="86"/>
      <c r="B7" s="86"/>
      <c r="C7" s="86"/>
      <c r="D7" s="86" t="s">
        <v>131</v>
      </c>
      <c r="E7" s="86"/>
      <c r="F7" s="86"/>
      <c r="G7" s="86" t="s">
        <v>42</v>
      </c>
      <c r="H7" s="86"/>
      <c r="I7" s="86"/>
      <c r="J7" s="86"/>
      <c r="K7" s="86"/>
      <c r="L7" s="86"/>
    </row>
    <row r="8" spans="1:12" ht="12.75">
      <c r="A8" s="86"/>
      <c r="B8" s="86"/>
      <c r="C8" s="86"/>
      <c r="D8" s="86"/>
      <c r="E8" s="86"/>
      <c r="F8" s="86"/>
      <c r="G8" s="124" t="s">
        <v>132</v>
      </c>
      <c r="H8" s="124"/>
      <c r="I8" s="124"/>
      <c r="J8" s="124" t="s">
        <v>133</v>
      </c>
      <c r="K8" s="124"/>
      <c r="L8" s="124"/>
    </row>
    <row r="9" spans="1:12" ht="63.75">
      <c r="A9" s="86"/>
      <c r="B9" s="86"/>
      <c r="C9" s="86"/>
      <c r="D9" s="16" t="s">
        <v>226</v>
      </c>
      <c r="E9" s="16" t="s">
        <v>227</v>
      </c>
      <c r="F9" s="16" t="s">
        <v>228</v>
      </c>
      <c r="G9" s="16" t="s">
        <v>226</v>
      </c>
      <c r="H9" s="16" t="s">
        <v>227</v>
      </c>
      <c r="I9" s="16" t="s">
        <v>228</v>
      </c>
      <c r="J9" s="16" t="s">
        <v>226</v>
      </c>
      <c r="K9" s="16" t="s">
        <v>227</v>
      </c>
      <c r="L9" s="16" t="s">
        <v>228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134</v>
      </c>
      <c r="B11" s="20">
        <v>1</v>
      </c>
      <c r="C11" s="20" t="s">
        <v>57</v>
      </c>
      <c r="D11" s="28">
        <f aca="true" t="shared" si="0" ref="D11:I11">D12+D14</f>
        <v>37300480.53</v>
      </c>
      <c r="E11" s="28">
        <f t="shared" si="0"/>
        <v>14154234.540000001</v>
      </c>
      <c r="F11" s="28">
        <f t="shared" si="0"/>
        <v>14316610.240000002</v>
      </c>
      <c r="G11" s="28">
        <f>D11</f>
        <v>37300480.53</v>
      </c>
      <c r="H11" s="28">
        <f>H12+H14</f>
        <v>14154234.540000001</v>
      </c>
      <c r="I11" s="28">
        <f t="shared" si="0"/>
        <v>14316610.240000002</v>
      </c>
      <c r="J11" s="28"/>
      <c r="K11" s="28"/>
      <c r="L11" s="28"/>
    </row>
    <row r="12" spans="1:12" ht="52.5" customHeight="1">
      <c r="A12" s="17" t="s">
        <v>135</v>
      </c>
      <c r="B12" s="20">
        <v>1002</v>
      </c>
      <c r="C12" s="20" t="s">
        <v>57</v>
      </c>
      <c r="D12" s="50">
        <v>6323172.33</v>
      </c>
      <c r="E12" s="50">
        <v>6881483.5</v>
      </c>
      <c r="F12" s="28">
        <v>6580630.2</v>
      </c>
      <c r="G12" s="50">
        <f>D12</f>
        <v>6323172.33</v>
      </c>
      <c r="H12" s="50">
        <f>E12</f>
        <v>6881483.5</v>
      </c>
      <c r="I12" s="28">
        <f>F12</f>
        <v>6580630.2</v>
      </c>
      <c r="J12" s="28"/>
      <c r="K12" s="28"/>
      <c r="L12" s="28"/>
    </row>
    <row r="13" spans="1:12" ht="12.75">
      <c r="A13" s="17"/>
      <c r="B13" s="20"/>
      <c r="C13" s="20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39.75" customHeight="1">
      <c r="A14" s="17" t="s">
        <v>136</v>
      </c>
      <c r="B14" s="20">
        <v>2003</v>
      </c>
      <c r="C14" s="20"/>
      <c r="D14" s="39">
        <f>стр2!D98-D12</f>
        <v>30977308.200000003</v>
      </c>
      <c r="E14" s="39">
        <f>стр2!D205-E12</f>
        <v>7272751.040000001</v>
      </c>
      <c r="F14" s="39">
        <f>стр2!D314-F12</f>
        <v>7735980.040000002</v>
      </c>
      <c r="G14" s="28">
        <f>D14</f>
        <v>30977308.200000003</v>
      </c>
      <c r="H14" s="28">
        <f>E14</f>
        <v>7272751.040000001</v>
      </c>
      <c r="I14" s="28">
        <f>F14</f>
        <v>7735980.040000002</v>
      </c>
      <c r="J14" s="28"/>
      <c r="K14" s="28"/>
      <c r="L14" s="28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.75">
      <c r="A17" s="69" t="s">
        <v>189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.75">
      <c r="A18" s="69" t="s">
        <v>203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27.75" customHeight="1">
      <c r="A19" s="117" t="s">
        <v>137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5.75">
      <c r="A20" s="118">
        <f>'титульный лист'!C23</f>
        <v>43830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 ht="12.75">
      <c r="A21" s="71" t="s">
        <v>138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ht="24" customHeight="1">
      <c r="A22" s="119" t="s">
        <v>22</v>
      </c>
      <c r="B22" s="119"/>
      <c r="C22" s="120"/>
      <c r="D22" s="86" t="s">
        <v>48</v>
      </c>
      <c r="E22" s="86"/>
      <c r="F22" s="86"/>
      <c r="G22" s="86" t="s">
        <v>139</v>
      </c>
      <c r="H22" s="86"/>
      <c r="I22" s="86"/>
      <c r="J22" s="86" t="s">
        <v>141</v>
      </c>
      <c r="K22" s="86"/>
      <c r="L22" s="86"/>
    </row>
    <row r="23" spans="1:12" ht="12.75" customHeight="1">
      <c r="A23" s="119"/>
      <c r="B23" s="119"/>
      <c r="C23" s="120"/>
      <c r="D23" s="86"/>
      <c r="E23" s="86"/>
      <c r="F23" s="86"/>
      <c r="G23" s="86" t="s">
        <v>140</v>
      </c>
      <c r="H23" s="86"/>
      <c r="I23" s="86"/>
      <c r="J23" s="86"/>
      <c r="K23" s="86"/>
      <c r="L23" s="86"/>
    </row>
    <row r="24" spans="1:12" ht="12.75">
      <c r="A24" s="86">
        <v>1</v>
      </c>
      <c r="B24" s="86"/>
      <c r="C24" s="109"/>
      <c r="D24" s="86">
        <v>2</v>
      </c>
      <c r="E24" s="86"/>
      <c r="F24" s="86"/>
      <c r="G24" s="86">
        <v>3</v>
      </c>
      <c r="H24" s="86"/>
      <c r="I24" s="86"/>
      <c r="J24" s="86">
        <v>4</v>
      </c>
      <c r="K24" s="86"/>
      <c r="L24" s="86"/>
    </row>
    <row r="25" spans="1:12" ht="27" customHeight="1">
      <c r="A25" s="112" t="s">
        <v>142</v>
      </c>
      <c r="B25" s="112"/>
      <c r="C25" s="103"/>
      <c r="D25" s="86" t="s">
        <v>57</v>
      </c>
      <c r="E25" s="86"/>
      <c r="F25" s="86"/>
      <c r="G25" s="100"/>
      <c r="H25" s="101"/>
      <c r="I25" s="102"/>
      <c r="J25" s="86"/>
      <c r="K25" s="86"/>
      <c r="L25" s="86"/>
    </row>
    <row r="26" spans="1:12" ht="12.75">
      <c r="A26" s="112" t="s">
        <v>143</v>
      </c>
      <c r="B26" s="112"/>
      <c r="C26" s="103"/>
      <c r="D26" s="86" t="s">
        <v>57</v>
      </c>
      <c r="E26" s="86"/>
      <c r="F26" s="86"/>
      <c r="G26" s="100">
        <f>G28+G29+G30</f>
        <v>1096837.93</v>
      </c>
      <c r="H26" s="101"/>
      <c r="I26" s="102"/>
      <c r="J26" s="86"/>
      <c r="K26" s="86"/>
      <c r="L26" s="86"/>
    </row>
    <row r="27" spans="1:12" ht="12.75">
      <c r="A27" s="112" t="s">
        <v>42</v>
      </c>
      <c r="B27" s="112"/>
      <c r="C27" s="103"/>
      <c r="D27" s="86" t="s">
        <v>57</v>
      </c>
      <c r="E27" s="86"/>
      <c r="F27" s="86"/>
      <c r="G27" s="100"/>
      <c r="H27" s="101"/>
      <c r="I27" s="102"/>
      <c r="J27" s="86" t="s">
        <v>57</v>
      </c>
      <c r="K27" s="86"/>
      <c r="L27" s="86"/>
    </row>
    <row r="28" spans="1:12" ht="27" customHeight="1">
      <c r="A28" s="112" t="s">
        <v>201</v>
      </c>
      <c r="B28" s="112"/>
      <c r="C28" s="103"/>
      <c r="D28" s="86">
        <v>130</v>
      </c>
      <c r="E28" s="86"/>
      <c r="F28" s="86"/>
      <c r="G28" s="100">
        <f>378.3+1096459.63</f>
        <v>1096837.93</v>
      </c>
      <c r="H28" s="101"/>
      <c r="I28" s="102"/>
      <c r="J28" s="103" t="s">
        <v>243</v>
      </c>
      <c r="K28" s="104"/>
      <c r="L28" s="105"/>
    </row>
    <row r="29" spans="1:12" ht="57" customHeight="1" hidden="1">
      <c r="A29" s="112" t="s">
        <v>211</v>
      </c>
      <c r="B29" s="112"/>
      <c r="C29" s="103"/>
      <c r="D29" s="86">
        <v>130</v>
      </c>
      <c r="E29" s="86"/>
      <c r="F29" s="86"/>
      <c r="G29" s="100"/>
      <c r="H29" s="101"/>
      <c r="I29" s="102"/>
      <c r="J29" s="103"/>
      <c r="K29" s="104"/>
      <c r="L29" s="105"/>
    </row>
    <row r="30" spans="1:12" ht="38.25" customHeight="1" hidden="1">
      <c r="A30" s="112" t="s">
        <v>216</v>
      </c>
      <c r="B30" s="112"/>
      <c r="C30" s="103"/>
      <c r="D30" s="86">
        <v>130</v>
      </c>
      <c r="E30" s="86"/>
      <c r="F30" s="86"/>
      <c r="G30" s="100"/>
      <c r="H30" s="101"/>
      <c r="I30" s="102"/>
      <c r="J30" s="103"/>
      <c r="K30" s="104"/>
      <c r="L30" s="105"/>
    </row>
    <row r="31" spans="1:12" ht="12.75">
      <c r="A31" s="112" t="s">
        <v>144</v>
      </c>
      <c r="B31" s="112"/>
      <c r="C31" s="103"/>
      <c r="D31" s="86"/>
      <c r="E31" s="86"/>
      <c r="F31" s="86"/>
      <c r="G31" s="78">
        <f>SUM(G33:I44)</f>
        <v>1096837.9300000002</v>
      </c>
      <c r="H31" s="78"/>
      <c r="I31" s="78"/>
      <c r="J31" s="86"/>
      <c r="K31" s="86"/>
      <c r="L31" s="86"/>
    </row>
    <row r="32" spans="1:12" ht="12.75">
      <c r="A32" s="112" t="s">
        <v>42</v>
      </c>
      <c r="B32" s="112"/>
      <c r="C32" s="103"/>
      <c r="D32" s="86" t="s">
        <v>57</v>
      </c>
      <c r="E32" s="86"/>
      <c r="F32" s="86"/>
      <c r="G32" s="100"/>
      <c r="H32" s="101"/>
      <c r="I32" s="102"/>
      <c r="J32" s="86" t="s">
        <v>57</v>
      </c>
      <c r="K32" s="86"/>
      <c r="L32" s="86"/>
    </row>
    <row r="33" spans="1:12" ht="12.75" customHeight="1">
      <c r="A33" s="103" t="s">
        <v>190</v>
      </c>
      <c r="B33" s="104"/>
      <c r="C33" s="105"/>
      <c r="D33" s="109">
        <v>211</v>
      </c>
      <c r="E33" s="110"/>
      <c r="F33" s="111"/>
      <c r="G33" s="100">
        <v>842134.9</v>
      </c>
      <c r="H33" s="101"/>
      <c r="I33" s="102"/>
      <c r="J33" s="109"/>
      <c r="K33" s="110"/>
      <c r="L33" s="111"/>
    </row>
    <row r="34" spans="1:12" ht="12.75" customHeight="1" hidden="1">
      <c r="A34" s="103" t="s">
        <v>191</v>
      </c>
      <c r="B34" s="104"/>
      <c r="C34" s="105"/>
      <c r="D34" s="109">
        <v>212</v>
      </c>
      <c r="E34" s="110"/>
      <c r="F34" s="111"/>
      <c r="G34" s="100"/>
      <c r="H34" s="101"/>
      <c r="I34" s="102"/>
      <c r="J34" s="109" t="s">
        <v>236</v>
      </c>
      <c r="K34" s="110"/>
      <c r="L34" s="111"/>
    </row>
    <row r="35" spans="1:12" ht="12.75" customHeight="1">
      <c r="A35" s="103" t="s">
        <v>192</v>
      </c>
      <c r="B35" s="104"/>
      <c r="C35" s="105"/>
      <c r="D35" s="109">
        <v>213</v>
      </c>
      <c r="E35" s="110"/>
      <c r="F35" s="111"/>
      <c r="G35" s="100">
        <f>-200600-5227.97+254324.73</f>
        <v>48496.76000000001</v>
      </c>
      <c r="H35" s="101"/>
      <c r="I35" s="102"/>
      <c r="J35" s="109" t="s">
        <v>236</v>
      </c>
      <c r="K35" s="110"/>
      <c r="L35" s="111"/>
    </row>
    <row r="36" spans="1:12" ht="12.75" customHeight="1" hidden="1">
      <c r="A36" s="103" t="s">
        <v>193</v>
      </c>
      <c r="B36" s="104"/>
      <c r="C36" s="105"/>
      <c r="D36" s="109">
        <v>221</v>
      </c>
      <c r="E36" s="110"/>
      <c r="F36" s="111"/>
      <c r="G36" s="100"/>
      <c r="H36" s="101"/>
      <c r="I36" s="102"/>
      <c r="J36" s="109" t="s">
        <v>236</v>
      </c>
      <c r="K36" s="110"/>
      <c r="L36" s="111"/>
    </row>
    <row r="37" spans="1:12" ht="12.75" customHeight="1" hidden="1">
      <c r="A37" s="103" t="s">
        <v>210</v>
      </c>
      <c r="B37" s="104"/>
      <c r="C37" s="105"/>
      <c r="D37" s="109">
        <v>223</v>
      </c>
      <c r="E37" s="110"/>
      <c r="F37" s="111"/>
      <c r="G37" s="100"/>
      <c r="H37" s="101"/>
      <c r="I37" s="102"/>
      <c r="J37" s="109" t="s">
        <v>236</v>
      </c>
      <c r="K37" s="110"/>
      <c r="L37" s="111"/>
    </row>
    <row r="38" spans="1:12" ht="12.75" customHeight="1">
      <c r="A38" s="103" t="s">
        <v>198</v>
      </c>
      <c r="B38" s="104"/>
      <c r="C38" s="105"/>
      <c r="D38" s="109">
        <v>225</v>
      </c>
      <c r="E38" s="110"/>
      <c r="F38" s="111"/>
      <c r="G38" s="100">
        <f>-200000</f>
        <v>-200000</v>
      </c>
      <c r="H38" s="101"/>
      <c r="I38" s="102"/>
      <c r="J38" s="109" t="s">
        <v>236</v>
      </c>
      <c r="K38" s="110"/>
      <c r="L38" s="111"/>
    </row>
    <row r="39" spans="1:12" ht="12.75">
      <c r="A39" s="103" t="s">
        <v>194</v>
      </c>
      <c r="B39" s="104"/>
      <c r="C39" s="105"/>
      <c r="D39" s="109">
        <v>226</v>
      </c>
      <c r="E39" s="110"/>
      <c r="F39" s="111"/>
      <c r="G39" s="100">
        <f>-171000-98744</f>
        <v>-269744</v>
      </c>
      <c r="H39" s="101"/>
      <c r="I39" s="102"/>
      <c r="J39" s="109" t="s">
        <v>236</v>
      </c>
      <c r="K39" s="110"/>
      <c r="L39" s="111"/>
    </row>
    <row r="40" spans="1:12" ht="12.75" customHeight="1" hidden="1">
      <c r="A40" s="103" t="s">
        <v>195</v>
      </c>
      <c r="B40" s="104"/>
      <c r="C40" s="105"/>
      <c r="D40" s="109">
        <v>266</v>
      </c>
      <c r="E40" s="110"/>
      <c r="F40" s="111"/>
      <c r="G40" s="100"/>
      <c r="H40" s="101"/>
      <c r="I40" s="102"/>
      <c r="J40" s="109" t="s">
        <v>236</v>
      </c>
      <c r="K40" s="110"/>
      <c r="L40" s="111"/>
    </row>
    <row r="41" spans="1:12" ht="30" customHeight="1" hidden="1">
      <c r="A41" s="103" t="s">
        <v>235</v>
      </c>
      <c r="B41" s="104"/>
      <c r="C41" s="105"/>
      <c r="D41" s="109">
        <v>266</v>
      </c>
      <c r="E41" s="110"/>
      <c r="F41" s="111"/>
      <c r="G41" s="100"/>
      <c r="H41" s="101"/>
      <c r="I41" s="102"/>
      <c r="J41" s="109" t="s">
        <v>236</v>
      </c>
      <c r="K41" s="110"/>
      <c r="L41" s="111"/>
    </row>
    <row r="42" spans="1:12" ht="12.75" customHeight="1">
      <c r="A42" s="103" t="s">
        <v>208</v>
      </c>
      <c r="B42" s="104"/>
      <c r="C42" s="105"/>
      <c r="D42" s="109">
        <v>290</v>
      </c>
      <c r="E42" s="110"/>
      <c r="F42" s="111"/>
      <c r="G42" s="100">
        <f>-36246.68+1.8</f>
        <v>-36244.88</v>
      </c>
      <c r="H42" s="101"/>
      <c r="I42" s="102"/>
      <c r="J42" s="109" t="s">
        <v>236</v>
      </c>
      <c r="K42" s="110"/>
      <c r="L42" s="111"/>
    </row>
    <row r="43" spans="1:12" ht="12.75" customHeight="1">
      <c r="A43" s="112" t="s">
        <v>196</v>
      </c>
      <c r="B43" s="112"/>
      <c r="C43" s="103"/>
      <c r="D43" s="86">
        <v>310</v>
      </c>
      <c r="E43" s="86"/>
      <c r="F43" s="86"/>
      <c r="G43" s="100">
        <f>607244.88+378.3</f>
        <v>607623.18</v>
      </c>
      <c r="H43" s="101"/>
      <c r="I43" s="102"/>
      <c r="J43" s="109" t="s">
        <v>236</v>
      </c>
      <c r="K43" s="110"/>
      <c r="L43" s="111"/>
    </row>
    <row r="44" spans="1:12" ht="12.75" customHeight="1">
      <c r="A44" s="112" t="s">
        <v>200</v>
      </c>
      <c r="B44" s="112"/>
      <c r="C44" s="103"/>
      <c r="D44" s="86">
        <v>340</v>
      </c>
      <c r="E44" s="86"/>
      <c r="F44" s="86"/>
      <c r="G44" s="78">
        <f>5827.97+98744</f>
        <v>104571.97</v>
      </c>
      <c r="H44" s="78"/>
      <c r="I44" s="78"/>
      <c r="J44" s="109" t="s">
        <v>236</v>
      </c>
      <c r="K44" s="110"/>
      <c r="L44" s="111"/>
    </row>
    <row r="45" spans="1:12" ht="27.75" customHeight="1">
      <c r="A45" s="112" t="s">
        <v>145</v>
      </c>
      <c r="B45" s="112"/>
      <c r="C45" s="103"/>
      <c r="D45" s="86" t="s">
        <v>57</v>
      </c>
      <c r="E45" s="86"/>
      <c r="F45" s="86"/>
      <c r="G45" s="100">
        <f>G25+G26-G31</f>
        <v>0</v>
      </c>
      <c r="H45" s="125"/>
      <c r="I45" s="126"/>
      <c r="J45" s="86"/>
      <c r="K45" s="86"/>
      <c r="L45" s="86"/>
    </row>
    <row r="46" spans="1:12" ht="15.75">
      <c r="A46" s="69" t="s">
        <v>197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ht="27.75" customHeight="1">
      <c r="A47" s="117" t="s">
        <v>137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2" ht="15.75">
      <c r="A48" s="118">
        <f>A20</f>
        <v>43830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2.75">
      <c r="A49" s="71" t="s">
        <v>138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1:12" ht="27" customHeight="1">
      <c r="A50" s="119" t="s">
        <v>22</v>
      </c>
      <c r="B50" s="119"/>
      <c r="C50" s="120"/>
      <c r="D50" s="86" t="s">
        <v>48</v>
      </c>
      <c r="E50" s="86"/>
      <c r="F50" s="86"/>
      <c r="G50" s="86" t="s">
        <v>139</v>
      </c>
      <c r="H50" s="86"/>
      <c r="I50" s="86"/>
      <c r="J50" s="86" t="s">
        <v>141</v>
      </c>
      <c r="K50" s="86"/>
      <c r="L50" s="86"/>
    </row>
    <row r="51" spans="1:12" ht="12.75" customHeight="1">
      <c r="A51" s="119"/>
      <c r="B51" s="119"/>
      <c r="C51" s="120"/>
      <c r="D51" s="86"/>
      <c r="E51" s="86"/>
      <c r="F51" s="86"/>
      <c r="G51" s="86" t="s">
        <v>140</v>
      </c>
      <c r="H51" s="86"/>
      <c r="I51" s="86"/>
      <c r="J51" s="86"/>
      <c r="K51" s="86"/>
      <c r="L51" s="86"/>
    </row>
    <row r="52" spans="1:12" ht="12.75">
      <c r="A52" s="86">
        <v>1</v>
      </c>
      <c r="B52" s="86"/>
      <c r="C52" s="109"/>
      <c r="D52" s="86">
        <v>2</v>
      </c>
      <c r="E52" s="86"/>
      <c r="F52" s="86"/>
      <c r="G52" s="86">
        <v>3</v>
      </c>
      <c r="H52" s="86"/>
      <c r="I52" s="86"/>
      <c r="J52" s="86">
        <v>4</v>
      </c>
      <c r="K52" s="86"/>
      <c r="L52" s="86"/>
    </row>
    <row r="53" spans="1:12" ht="27.75" customHeight="1">
      <c r="A53" s="112" t="s">
        <v>142</v>
      </c>
      <c r="B53" s="112"/>
      <c r="C53" s="103"/>
      <c r="D53" s="86" t="s">
        <v>57</v>
      </c>
      <c r="E53" s="86"/>
      <c r="F53" s="86"/>
      <c r="G53" s="78">
        <f>G54-G68</f>
        <v>0</v>
      </c>
      <c r="H53" s="78"/>
      <c r="I53" s="78"/>
      <c r="J53" s="86"/>
      <c r="K53" s="86"/>
      <c r="L53" s="86"/>
    </row>
    <row r="54" spans="1:12" ht="12.75">
      <c r="A54" s="112" t="s">
        <v>143</v>
      </c>
      <c r="B54" s="112"/>
      <c r="C54" s="103"/>
      <c r="D54" s="86" t="s">
        <v>57</v>
      </c>
      <c r="E54" s="86"/>
      <c r="F54" s="86"/>
      <c r="G54" s="100">
        <f>SUM(G55:I66)</f>
        <v>-1409157.99</v>
      </c>
      <c r="H54" s="101"/>
      <c r="I54" s="102"/>
      <c r="J54" s="86"/>
      <c r="K54" s="86"/>
      <c r="L54" s="86"/>
    </row>
    <row r="55" spans="1:12" ht="27" customHeight="1">
      <c r="A55" s="106" t="s">
        <v>217</v>
      </c>
      <c r="B55" s="107"/>
      <c r="C55" s="108"/>
      <c r="D55" s="109">
        <v>180</v>
      </c>
      <c r="E55" s="110"/>
      <c r="F55" s="111"/>
      <c r="G55" s="100">
        <f>-141044.9-4200+17768</f>
        <v>-127476.9</v>
      </c>
      <c r="H55" s="101"/>
      <c r="I55" s="102"/>
      <c r="J55" s="103" t="s">
        <v>248</v>
      </c>
      <c r="K55" s="104"/>
      <c r="L55" s="105"/>
    </row>
    <row r="56" spans="1:12" ht="68.25" customHeight="1" hidden="1">
      <c r="A56" s="106" t="s">
        <v>213</v>
      </c>
      <c r="B56" s="107"/>
      <c r="C56" s="108"/>
      <c r="D56" s="109">
        <v>180</v>
      </c>
      <c r="E56" s="110"/>
      <c r="F56" s="111"/>
      <c r="G56" s="100"/>
      <c r="H56" s="101"/>
      <c r="I56" s="102"/>
      <c r="J56" s="103" t="s">
        <v>239</v>
      </c>
      <c r="K56" s="104"/>
      <c r="L56" s="105"/>
    </row>
    <row r="57" spans="1:12" ht="42" customHeight="1">
      <c r="A57" s="106" t="s">
        <v>246</v>
      </c>
      <c r="B57" s="107"/>
      <c r="C57" s="108"/>
      <c r="D57" s="109">
        <v>180</v>
      </c>
      <c r="E57" s="110"/>
      <c r="F57" s="111"/>
      <c r="G57" s="100">
        <v>16080.97</v>
      </c>
      <c r="H57" s="101"/>
      <c r="I57" s="102"/>
      <c r="J57" s="103" t="s">
        <v>247</v>
      </c>
      <c r="K57" s="104"/>
      <c r="L57" s="105"/>
    </row>
    <row r="58" spans="1:12" ht="60.75" customHeight="1" hidden="1">
      <c r="A58" s="103" t="s">
        <v>220</v>
      </c>
      <c r="B58" s="104"/>
      <c r="C58" s="105"/>
      <c r="D58" s="109">
        <v>180</v>
      </c>
      <c r="E58" s="110"/>
      <c r="F58" s="111"/>
      <c r="G58" s="100"/>
      <c r="H58" s="101"/>
      <c r="I58" s="102"/>
      <c r="J58" s="103"/>
      <c r="K58" s="104"/>
      <c r="L58" s="105"/>
    </row>
    <row r="59" spans="1:12" ht="39" customHeight="1">
      <c r="A59" s="106" t="s">
        <v>214</v>
      </c>
      <c r="B59" s="107"/>
      <c r="C59" s="108"/>
      <c r="D59" s="109">
        <v>180</v>
      </c>
      <c r="E59" s="110"/>
      <c r="F59" s="111"/>
      <c r="G59" s="100">
        <v>116340</v>
      </c>
      <c r="H59" s="101"/>
      <c r="I59" s="102"/>
      <c r="J59" s="103" t="s">
        <v>249</v>
      </c>
      <c r="K59" s="104"/>
      <c r="L59" s="105"/>
    </row>
    <row r="60" spans="1:12" ht="30.75" customHeight="1" hidden="1">
      <c r="A60" s="106" t="s">
        <v>215</v>
      </c>
      <c r="B60" s="107"/>
      <c r="C60" s="108"/>
      <c r="D60" s="109">
        <v>180</v>
      </c>
      <c r="E60" s="110"/>
      <c r="F60" s="111"/>
      <c r="G60" s="100"/>
      <c r="H60" s="101"/>
      <c r="I60" s="102"/>
      <c r="J60" s="103" t="s">
        <v>242</v>
      </c>
      <c r="K60" s="104"/>
      <c r="L60" s="105"/>
    </row>
    <row r="61" spans="1:12" ht="30.75" customHeight="1" hidden="1">
      <c r="A61" s="106" t="s">
        <v>237</v>
      </c>
      <c r="B61" s="107"/>
      <c r="C61" s="108"/>
      <c r="D61" s="109">
        <v>180</v>
      </c>
      <c r="E61" s="110"/>
      <c r="F61" s="111"/>
      <c r="G61" s="100"/>
      <c r="H61" s="101"/>
      <c r="I61" s="102"/>
      <c r="J61" s="103"/>
      <c r="K61" s="104"/>
      <c r="L61" s="105"/>
    </row>
    <row r="62" spans="1:12" ht="41.25" customHeight="1">
      <c r="A62" s="103" t="s">
        <v>218</v>
      </c>
      <c r="B62" s="104"/>
      <c r="C62" s="105"/>
      <c r="D62" s="109">
        <v>180</v>
      </c>
      <c r="E62" s="110"/>
      <c r="F62" s="111"/>
      <c r="G62" s="100">
        <v>-1413723.76</v>
      </c>
      <c r="H62" s="101"/>
      <c r="I62" s="102"/>
      <c r="J62" s="103" t="s">
        <v>244</v>
      </c>
      <c r="K62" s="104"/>
      <c r="L62" s="105"/>
    </row>
    <row r="63" spans="1:12" ht="38.25" customHeight="1" hidden="1">
      <c r="A63" s="103" t="s">
        <v>219</v>
      </c>
      <c r="B63" s="104"/>
      <c r="C63" s="105"/>
      <c r="D63" s="109">
        <v>180</v>
      </c>
      <c r="E63" s="110"/>
      <c r="F63" s="111"/>
      <c r="G63" s="100"/>
      <c r="H63" s="101"/>
      <c r="I63" s="102"/>
      <c r="J63" s="103"/>
      <c r="K63" s="104"/>
      <c r="L63" s="105"/>
    </row>
    <row r="64" spans="1:12" ht="26.25" customHeight="1">
      <c r="A64" s="103" t="s">
        <v>234</v>
      </c>
      <c r="B64" s="104"/>
      <c r="C64" s="105"/>
      <c r="D64" s="109">
        <v>180</v>
      </c>
      <c r="E64" s="110"/>
      <c r="F64" s="111"/>
      <c r="G64" s="100">
        <v>-378.3</v>
      </c>
      <c r="H64" s="101"/>
      <c r="I64" s="102"/>
      <c r="J64" s="103" t="s">
        <v>245</v>
      </c>
      <c r="K64" s="104"/>
      <c r="L64" s="105"/>
    </row>
    <row r="65" spans="1:12" ht="39" customHeight="1" hidden="1">
      <c r="A65" s="103" t="s">
        <v>223</v>
      </c>
      <c r="B65" s="104"/>
      <c r="C65" s="105"/>
      <c r="D65" s="109">
        <v>180</v>
      </c>
      <c r="E65" s="110"/>
      <c r="F65" s="111"/>
      <c r="G65" s="100"/>
      <c r="H65" s="101"/>
      <c r="I65" s="102"/>
      <c r="J65" s="103"/>
      <c r="K65" s="104"/>
      <c r="L65" s="105"/>
    </row>
    <row r="66" spans="1:12" ht="39" customHeight="1" hidden="1">
      <c r="A66" s="103" t="s">
        <v>238</v>
      </c>
      <c r="B66" s="104"/>
      <c r="C66" s="105"/>
      <c r="D66" s="109">
        <v>180</v>
      </c>
      <c r="E66" s="110"/>
      <c r="F66" s="111"/>
      <c r="G66" s="100"/>
      <c r="H66" s="101"/>
      <c r="I66" s="102"/>
      <c r="J66" s="103" t="s">
        <v>241</v>
      </c>
      <c r="K66" s="104"/>
      <c r="L66" s="105"/>
    </row>
    <row r="67" spans="1:12" ht="12.75">
      <c r="A67" s="112" t="s">
        <v>42</v>
      </c>
      <c r="B67" s="112"/>
      <c r="C67" s="103"/>
      <c r="D67" s="86" t="s">
        <v>57</v>
      </c>
      <c r="E67" s="86"/>
      <c r="F67" s="86"/>
      <c r="G67" s="78" t="s">
        <v>57</v>
      </c>
      <c r="H67" s="78"/>
      <c r="I67" s="78"/>
      <c r="J67" s="86" t="s">
        <v>57</v>
      </c>
      <c r="K67" s="86"/>
      <c r="L67" s="86"/>
    </row>
    <row r="68" spans="1:12" ht="12.75">
      <c r="A68" s="112" t="s">
        <v>144</v>
      </c>
      <c r="B68" s="112"/>
      <c r="C68" s="103"/>
      <c r="D68" s="86"/>
      <c r="E68" s="86"/>
      <c r="F68" s="86"/>
      <c r="G68" s="100">
        <f>SUM(G70:I79)</f>
        <v>-1409157.99</v>
      </c>
      <c r="H68" s="101"/>
      <c r="I68" s="102"/>
      <c r="J68" s="86"/>
      <c r="K68" s="86"/>
      <c r="L68" s="86"/>
    </row>
    <row r="69" spans="1:12" ht="12.75">
      <c r="A69" s="112" t="s">
        <v>42</v>
      </c>
      <c r="B69" s="112"/>
      <c r="C69" s="103"/>
      <c r="D69" s="86" t="s">
        <v>57</v>
      </c>
      <c r="E69" s="86"/>
      <c r="F69" s="86"/>
      <c r="G69" s="78" t="s">
        <v>57</v>
      </c>
      <c r="H69" s="78"/>
      <c r="I69" s="78"/>
      <c r="J69" s="86" t="s">
        <v>57</v>
      </c>
      <c r="K69" s="86"/>
      <c r="L69" s="86"/>
    </row>
    <row r="70" spans="1:12" ht="12.75" hidden="1">
      <c r="A70" s="103" t="s">
        <v>190</v>
      </c>
      <c r="B70" s="104"/>
      <c r="C70" s="105"/>
      <c r="D70" s="109">
        <v>211</v>
      </c>
      <c r="E70" s="110"/>
      <c r="F70" s="111"/>
      <c r="G70" s="100"/>
      <c r="H70" s="101"/>
      <c r="I70" s="102"/>
      <c r="J70" s="109"/>
      <c r="K70" s="110"/>
      <c r="L70" s="111"/>
    </row>
    <row r="71" spans="1:12" ht="12.75">
      <c r="A71" s="103" t="s">
        <v>191</v>
      </c>
      <c r="B71" s="104"/>
      <c r="C71" s="105"/>
      <c r="D71" s="109">
        <v>212</v>
      </c>
      <c r="E71" s="110"/>
      <c r="F71" s="111"/>
      <c r="G71" s="100">
        <f>-4200-378.3</f>
        <v>-4578.3</v>
      </c>
      <c r="H71" s="101"/>
      <c r="I71" s="102"/>
      <c r="J71" s="109"/>
      <c r="K71" s="110"/>
      <c r="L71" s="111"/>
    </row>
    <row r="72" spans="1:12" ht="12.75" hidden="1">
      <c r="A72" s="103" t="s">
        <v>192</v>
      </c>
      <c r="B72" s="104"/>
      <c r="C72" s="105"/>
      <c r="D72" s="109">
        <v>213</v>
      </c>
      <c r="E72" s="110"/>
      <c r="F72" s="111"/>
      <c r="G72" s="100"/>
      <c r="H72" s="101"/>
      <c r="I72" s="102"/>
      <c r="J72" s="109"/>
      <c r="K72" s="110"/>
      <c r="L72" s="111"/>
    </row>
    <row r="73" spans="1:12" ht="12.75" hidden="1">
      <c r="A73" s="103" t="s">
        <v>193</v>
      </c>
      <c r="B73" s="104"/>
      <c r="C73" s="105"/>
      <c r="D73" s="109">
        <v>221</v>
      </c>
      <c r="E73" s="110"/>
      <c r="F73" s="111"/>
      <c r="G73" s="113"/>
      <c r="H73" s="114"/>
      <c r="I73" s="115"/>
      <c r="J73" s="109"/>
      <c r="K73" s="110"/>
      <c r="L73" s="111"/>
    </row>
    <row r="74" spans="1:12" ht="12.75" customHeight="1" hidden="1">
      <c r="A74" s="103" t="s">
        <v>202</v>
      </c>
      <c r="B74" s="104"/>
      <c r="C74" s="105"/>
      <c r="D74" s="109">
        <v>222</v>
      </c>
      <c r="E74" s="110"/>
      <c r="F74" s="111"/>
      <c r="G74" s="100"/>
      <c r="H74" s="101"/>
      <c r="I74" s="102"/>
      <c r="J74" s="109" t="s">
        <v>236</v>
      </c>
      <c r="K74" s="110"/>
      <c r="L74" s="111"/>
    </row>
    <row r="75" spans="1:12" ht="12.75">
      <c r="A75" s="103" t="s">
        <v>198</v>
      </c>
      <c r="B75" s="104"/>
      <c r="C75" s="105"/>
      <c r="D75" s="109">
        <v>225</v>
      </c>
      <c r="E75" s="110"/>
      <c r="F75" s="111"/>
      <c r="G75" s="100">
        <f>-1413723.76+229000</f>
        <v>-1184723.76</v>
      </c>
      <c r="H75" s="101"/>
      <c r="I75" s="102"/>
      <c r="J75" s="109"/>
      <c r="K75" s="110"/>
      <c r="L75" s="111"/>
    </row>
    <row r="76" spans="1:12" ht="24" customHeight="1">
      <c r="A76" s="103" t="s">
        <v>194</v>
      </c>
      <c r="B76" s="104"/>
      <c r="C76" s="105"/>
      <c r="D76" s="109">
        <v>226</v>
      </c>
      <c r="E76" s="110"/>
      <c r="F76" s="111"/>
      <c r="G76" s="100">
        <f>16080.97-141044.9+17768-229000</f>
        <v>-336195.93</v>
      </c>
      <c r="H76" s="101"/>
      <c r="I76" s="102"/>
      <c r="J76" s="109"/>
      <c r="K76" s="110"/>
      <c r="L76" s="111"/>
    </row>
    <row r="77" spans="1:12" ht="14.25" customHeight="1" hidden="1">
      <c r="A77" s="103"/>
      <c r="B77" s="104"/>
      <c r="C77" s="105"/>
      <c r="D77" s="109">
        <v>262</v>
      </c>
      <c r="E77" s="110"/>
      <c r="F77" s="111"/>
      <c r="G77" s="113"/>
      <c r="H77" s="114"/>
      <c r="I77" s="115"/>
      <c r="J77" s="109"/>
      <c r="K77" s="110"/>
      <c r="L77" s="111"/>
    </row>
    <row r="78" spans="1:12" ht="12.75">
      <c r="A78" s="112" t="s">
        <v>196</v>
      </c>
      <c r="B78" s="112"/>
      <c r="C78" s="103"/>
      <c r="D78" s="86">
        <v>310</v>
      </c>
      <c r="E78" s="86"/>
      <c r="F78" s="86"/>
      <c r="G78" s="100">
        <v>116340</v>
      </c>
      <c r="H78" s="101"/>
      <c r="I78" s="102"/>
      <c r="J78" s="109"/>
      <c r="K78" s="110"/>
      <c r="L78" s="111"/>
    </row>
    <row r="79" spans="1:12" ht="12.75" customHeight="1" hidden="1">
      <c r="A79" s="112" t="s">
        <v>200</v>
      </c>
      <c r="B79" s="112"/>
      <c r="C79" s="103"/>
      <c r="D79" s="86">
        <v>340</v>
      </c>
      <c r="E79" s="86"/>
      <c r="F79" s="86"/>
      <c r="G79" s="100"/>
      <c r="H79" s="101"/>
      <c r="I79" s="102"/>
      <c r="J79" s="109" t="s">
        <v>236</v>
      </c>
      <c r="K79" s="110"/>
      <c r="L79" s="111"/>
    </row>
    <row r="80" spans="1:12" ht="27.75" customHeight="1">
      <c r="A80" s="112" t="s">
        <v>145</v>
      </c>
      <c r="B80" s="112"/>
      <c r="C80" s="103"/>
      <c r="D80" s="86" t="s">
        <v>57</v>
      </c>
      <c r="E80" s="86"/>
      <c r="F80" s="86"/>
      <c r="G80" s="116"/>
      <c r="H80" s="86"/>
      <c r="I80" s="86"/>
      <c r="J80" s="86"/>
      <c r="K80" s="86"/>
      <c r="L80" s="86"/>
    </row>
    <row r="81" spans="1:12" ht="15.75">
      <c r="A81" s="69" t="s">
        <v>206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1:12" ht="27.75" customHeight="1">
      <c r="A82" s="117" t="s">
        <v>137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1:12" ht="15.75">
      <c r="A83" s="118">
        <f>A3</f>
        <v>43830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</row>
    <row r="84" spans="1:12" ht="12.75">
      <c r="A84" s="71" t="s">
        <v>138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27" customHeight="1">
      <c r="A85" s="119" t="s">
        <v>22</v>
      </c>
      <c r="B85" s="119"/>
      <c r="C85" s="120"/>
      <c r="D85" s="86" t="s">
        <v>48</v>
      </c>
      <c r="E85" s="86"/>
      <c r="F85" s="86"/>
      <c r="G85" s="86" t="s">
        <v>139</v>
      </c>
      <c r="H85" s="86"/>
      <c r="I85" s="86"/>
      <c r="J85" s="86" t="s">
        <v>141</v>
      </c>
      <c r="K85" s="86"/>
      <c r="L85" s="86"/>
    </row>
    <row r="86" spans="1:12" ht="12.75" customHeight="1">
      <c r="A86" s="119"/>
      <c r="B86" s="119"/>
      <c r="C86" s="120"/>
      <c r="D86" s="86"/>
      <c r="E86" s="86"/>
      <c r="F86" s="86"/>
      <c r="G86" s="86" t="s">
        <v>140</v>
      </c>
      <c r="H86" s="86"/>
      <c r="I86" s="86"/>
      <c r="J86" s="86"/>
      <c r="K86" s="86"/>
      <c r="L86" s="86"/>
    </row>
    <row r="87" spans="1:12" ht="12.75">
      <c r="A87" s="86">
        <v>1</v>
      </c>
      <c r="B87" s="86"/>
      <c r="C87" s="109"/>
      <c r="D87" s="86">
        <v>2</v>
      </c>
      <c r="E87" s="86"/>
      <c r="F87" s="86"/>
      <c r="G87" s="86">
        <v>3</v>
      </c>
      <c r="H87" s="86"/>
      <c r="I87" s="86"/>
      <c r="J87" s="86">
        <v>4</v>
      </c>
      <c r="K87" s="86"/>
      <c r="L87" s="86"/>
    </row>
    <row r="88" spans="1:12" ht="27.75" customHeight="1">
      <c r="A88" s="112" t="s">
        <v>142</v>
      </c>
      <c r="B88" s="112"/>
      <c r="C88" s="103"/>
      <c r="D88" s="86" t="s">
        <v>57</v>
      </c>
      <c r="E88" s="86"/>
      <c r="F88" s="86"/>
      <c r="G88" s="78">
        <f>G89-G94</f>
        <v>0</v>
      </c>
      <c r="H88" s="78"/>
      <c r="I88" s="78"/>
      <c r="J88" s="86"/>
      <c r="K88" s="86"/>
      <c r="L88" s="86"/>
    </row>
    <row r="89" spans="1:12" ht="12.75">
      <c r="A89" s="112" t="s">
        <v>143</v>
      </c>
      <c r="B89" s="112"/>
      <c r="C89" s="103"/>
      <c r="D89" s="86" t="s">
        <v>57</v>
      </c>
      <c r="E89" s="86"/>
      <c r="F89" s="86"/>
      <c r="G89" s="100">
        <f>SUM(G91:I93)</f>
        <v>0</v>
      </c>
      <c r="H89" s="101"/>
      <c r="I89" s="102"/>
      <c r="J89" s="103"/>
      <c r="K89" s="104"/>
      <c r="L89" s="105"/>
    </row>
    <row r="90" spans="1:12" ht="12.75">
      <c r="A90" s="112" t="s">
        <v>42</v>
      </c>
      <c r="B90" s="112"/>
      <c r="C90" s="103"/>
      <c r="D90" s="86" t="s">
        <v>57</v>
      </c>
      <c r="E90" s="86"/>
      <c r="F90" s="86"/>
      <c r="G90" s="78" t="s">
        <v>57</v>
      </c>
      <c r="H90" s="78"/>
      <c r="I90" s="78"/>
      <c r="J90" s="86" t="s">
        <v>57</v>
      </c>
      <c r="K90" s="86"/>
      <c r="L90" s="86"/>
    </row>
    <row r="91" spans="1:12" ht="28.5" customHeight="1">
      <c r="A91" s="112" t="s">
        <v>70</v>
      </c>
      <c r="B91" s="112"/>
      <c r="C91" s="103"/>
      <c r="D91" s="86">
        <v>130</v>
      </c>
      <c r="E91" s="86"/>
      <c r="F91" s="86"/>
      <c r="G91" s="100"/>
      <c r="H91" s="101"/>
      <c r="I91" s="102"/>
      <c r="J91" s="103"/>
      <c r="K91" s="104"/>
      <c r="L91" s="105"/>
    </row>
    <row r="92" spans="1:12" ht="24.75" customHeight="1" hidden="1">
      <c r="A92" s="112" t="s">
        <v>77</v>
      </c>
      <c r="B92" s="112"/>
      <c r="C92" s="103"/>
      <c r="D92" s="86">
        <v>130</v>
      </c>
      <c r="E92" s="86"/>
      <c r="F92" s="86"/>
      <c r="G92" s="100"/>
      <c r="H92" s="101"/>
      <c r="I92" s="102"/>
      <c r="J92" s="86"/>
      <c r="K92" s="86"/>
      <c r="L92" s="86"/>
    </row>
    <row r="93" spans="1:12" ht="39" customHeight="1" hidden="1">
      <c r="A93" s="122" t="s">
        <v>62</v>
      </c>
      <c r="B93" s="122"/>
      <c r="C93" s="123"/>
      <c r="D93" s="86">
        <v>120</v>
      </c>
      <c r="E93" s="86"/>
      <c r="F93" s="86"/>
      <c r="G93" s="100"/>
      <c r="H93" s="101"/>
      <c r="I93" s="102"/>
      <c r="J93" s="103"/>
      <c r="K93" s="104"/>
      <c r="L93" s="105"/>
    </row>
    <row r="94" spans="1:12" ht="12.75">
      <c r="A94" s="112" t="s">
        <v>144</v>
      </c>
      <c r="B94" s="112"/>
      <c r="C94" s="103"/>
      <c r="D94" s="86"/>
      <c r="E94" s="86"/>
      <c r="F94" s="86"/>
      <c r="G94" s="100">
        <f>G96+G97+G98+G99+G100+G101+G102+G103+G104+G106+G107+G105</f>
        <v>0</v>
      </c>
      <c r="H94" s="101"/>
      <c r="I94" s="102"/>
      <c r="J94" s="86"/>
      <c r="K94" s="86"/>
      <c r="L94" s="86"/>
    </row>
    <row r="95" spans="1:12" ht="12.75">
      <c r="A95" s="112" t="s">
        <v>42</v>
      </c>
      <c r="B95" s="112"/>
      <c r="C95" s="103"/>
      <c r="D95" s="86" t="s">
        <v>57</v>
      </c>
      <c r="E95" s="86"/>
      <c r="F95" s="86"/>
      <c r="G95" s="78" t="s">
        <v>57</v>
      </c>
      <c r="H95" s="78"/>
      <c r="I95" s="78"/>
      <c r="J95" s="86" t="s">
        <v>57</v>
      </c>
      <c r="K95" s="86"/>
      <c r="L95" s="86"/>
    </row>
    <row r="96" spans="1:12" ht="12.75" hidden="1">
      <c r="A96" s="103" t="s">
        <v>190</v>
      </c>
      <c r="B96" s="104"/>
      <c r="C96" s="105"/>
      <c r="D96" s="109">
        <v>211</v>
      </c>
      <c r="E96" s="110"/>
      <c r="F96" s="111"/>
      <c r="G96" s="100"/>
      <c r="H96" s="101"/>
      <c r="I96" s="102"/>
      <c r="J96" s="109" t="s">
        <v>236</v>
      </c>
      <c r="K96" s="110"/>
      <c r="L96" s="111"/>
    </row>
    <row r="97" spans="1:12" ht="12.75" customHeight="1" hidden="1">
      <c r="A97" s="103" t="s">
        <v>191</v>
      </c>
      <c r="B97" s="104"/>
      <c r="C97" s="105"/>
      <c r="D97" s="109">
        <v>212</v>
      </c>
      <c r="E97" s="110"/>
      <c r="F97" s="111"/>
      <c r="G97" s="100"/>
      <c r="H97" s="101"/>
      <c r="I97" s="102"/>
      <c r="J97" s="103"/>
      <c r="K97" s="104"/>
      <c r="L97" s="105"/>
    </row>
    <row r="98" spans="1:12" ht="12.75" hidden="1">
      <c r="A98" s="103" t="s">
        <v>192</v>
      </c>
      <c r="B98" s="104"/>
      <c r="C98" s="105"/>
      <c r="D98" s="109">
        <v>213</v>
      </c>
      <c r="E98" s="110"/>
      <c r="F98" s="111"/>
      <c r="G98" s="100"/>
      <c r="H98" s="101"/>
      <c r="I98" s="102"/>
      <c r="J98" s="109" t="s">
        <v>236</v>
      </c>
      <c r="K98" s="110"/>
      <c r="L98" s="111"/>
    </row>
    <row r="99" spans="1:12" ht="12.75" hidden="1">
      <c r="A99" s="103" t="s">
        <v>202</v>
      </c>
      <c r="B99" s="104"/>
      <c r="C99" s="105"/>
      <c r="D99" s="109">
        <v>222</v>
      </c>
      <c r="E99" s="110"/>
      <c r="F99" s="111"/>
      <c r="G99" s="100"/>
      <c r="H99" s="101"/>
      <c r="I99" s="102"/>
      <c r="J99" s="86"/>
      <c r="K99" s="86"/>
      <c r="L99" s="86"/>
    </row>
    <row r="100" spans="1:12" ht="12.75" customHeight="1" hidden="1">
      <c r="A100" s="103" t="s">
        <v>210</v>
      </c>
      <c r="B100" s="104"/>
      <c r="C100" s="105"/>
      <c r="D100" s="109">
        <v>223</v>
      </c>
      <c r="E100" s="110"/>
      <c r="F100" s="111"/>
      <c r="G100" s="100"/>
      <c r="H100" s="101"/>
      <c r="I100" s="102"/>
      <c r="J100" s="103"/>
      <c r="K100" s="104"/>
      <c r="L100" s="105"/>
    </row>
    <row r="101" spans="1:12" ht="12.75" customHeight="1" hidden="1">
      <c r="A101" s="103" t="s">
        <v>198</v>
      </c>
      <c r="B101" s="104"/>
      <c r="C101" s="105"/>
      <c r="D101" s="109">
        <v>225</v>
      </c>
      <c r="E101" s="110"/>
      <c r="F101" s="111"/>
      <c r="G101" s="100"/>
      <c r="H101" s="101"/>
      <c r="I101" s="102"/>
      <c r="J101" s="103"/>
      <c r="K101" s="104"/>
      <c r="L101" s="105"/>
    </row>
    <row r="102" spans="1:12" ht="12.75" customHeight="1" hidden="1">
      <c r="A102" s="103" t="s">
        <v>194</v>
      </c>
      <c r="B102" s="104"/>
      <c r="C102" s="105"/>
      <c r="D102" s="109">
        <v>226</v>
      </c>
      <c r="E102" s="110"/>
      <c r="F102" s="111"/>
      <c r="G102" s="100"/>
      <c r="H102" s="101"/>
      <c r="I102" s="102"/>
      <c r="J102" s="109" t="s">
        <v>236</v>
      </c>
      <c r="K102" s="110"/>
      <c r="L102" s="111"/>
    </row>
    <row r="103" spans="1:12" ht="12.75" customHeight="1" hidden="1">
      <c r="A103" s="103" t="s">
        <v>208</v>
      </c>
      <c r="B103" s="104"/>
      <c r="C103" s="105"/>
      <c r="D103" s="109">
        <v>290</v>
      </c>
      <c r="E103" s="110"/>
      <c r="F103" s="111"/>
      <c r="G103" s="100"/>
      <c r="H103" s="101"/>
      <c r="I103" s="102"/>
      <c r="J103" s="109" t="s">
        <v>236</v>
      </c>
      <c r="K103" s="110"/>
      <c r="L103" s="111"/>
    </row>
    <row r="104" spans="1:12" ht="11.25" customHeight="1" hidden="1">
      <c r="A104" s="103" t="s">
        <v>195</v>
      </c>
      <c r="B104" s="104"/>
      <c r="C104" s="105"/>
      <c r="D104" s="109">
        <v>262</v>
      </c>
      <c r="E104" s="110"/>
      <c r="F104" s="111"/>
      <c r="G104" s="100"/>
      <c r="H104" s="101"/>
      <c r="I104" s="102"/>
      <c r="J104" s="109" t="s">
        <v>236</v>
      </c>
      <c r="K104" s="110"/>
      <c r="L104" s="111"/>
    </row>
    <row r="105" spans="1:12" ht="12.75" hidden="1">
      <c r="A105" s="103" t="s">
        <v>208</v>
      </c>
      <c r="B105" s="104"/>
      <c r="C105" s="105"/>
      <c r="D105" s="109">
        <v>290</v>
      </c>
      <c r="E105" s="110"/>
      <c r="F105" s="111"/>
      <c r="G105" s="100"/>
      <c r="H105" s="101"/>
      <c r="I105" s="102"/>
      <c r="J105" s="109" t="s">
        <v>236</v>
      </c>
      <c r="K105" s="110"/>
      <c r="L105" s="111"/>
    </row>
    <row r="106" spans="1:12" ht="12.75" customHeight="1" hidden="1">
      <c r="A106" s="112" t="s">
        <v>196</v>
      </c>
      <c r="B106" s="112"/>
      <c r="C106" s="103"/>
      <c r="D106" s="86">
        <v>310</v>
      </c>
      <c r="E106" s="86"/>
      <c r="F106" s="86"/>
      <c r="G106" s="100"/>
      <c r="H106" s="101"/>
      <c r="I106" s="102"/>
      <c r="J106" s="103"/>
      <c r="K106" s="104"/>
      <c r="L106" s="105"/>
    </row>
    <row r="107" spans="1:12" ht="12.75" hidden="1">
      <c r="A107" s="112" t="s">
        <v>200</v>
      </c>
      <c r="B107" s="112"/>
      <c r="C107" s="103"/>
      <c r="D107" s="86">
        <v>340</v>
      </c>
      <c r="E107" s="86"/>
      <c r="F107" s="86"/>
      <c r="G107" s="78"/>
      <c r="H107" s="78"/>
      <c r="I107" s="78"/>
      <c r="J107" s="103"/>
      <c r="K107" s="104"/>
      <c r="L107" s="105"/>
    </row>
    <row r="108" spans="1:12" ht="27.75" customHeight="1">
      <c r="A108" s="112" t="s">
        <v>145</v>
      </c>
      <c r="B108" s="112"/>
      <c r="C108" s="103"/>
      <c r="D108" s="86" t="s">
        <v>57</v>
      </c>
      <c r="E108" s="86"/>
      <c r="F108" s="86"/>
      <c r="G108" s="116"/>
      <c r="H108" s="86"/>
      <c r="I108" s="86"/>
      <c r="J108" s="86"/>
      <c r="K108" s="86"/>
      <c r="L108" s="86"/>
    </row>
    <row r="109" spans="1:12" ht="15.75" hidden="1">
      <c r="A109" s="69" t="s">
        <v>199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1:12" ht="27.75" customHeight="1" hidden="1">
      <c r="A110" s="117" t="s">
        <v>137</v>
      </c>
      <c r="B110" s="117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</row>
    <row r="111" spans="1:12" ht="15.75" hidden="1">
      <c r="A111" s="118">
        <f>A83</f>
        <v>43830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</row>
    <row r="112" spans="1:12" ht="12.75" hidden="1">
      <c r="A112" s="71" t="s">
        <v>138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</row>
    <row r="113" spans="1:12" ht="24" customHeight="1" hidden="1">
      <c r="A113" s="119" t="s">
        <v>22</v>
      </c>
      <c r="B113" s="119"/>
      <c r="C113" s="120"/>
      <c r="D113" s="86" t="s">
        <v>48</v>
      </c>
      <c r="E113" s="86"/>
      <c r="F113" s="86"/>
      <c r="G113" s="86" t="s">
        <v>139</v>
      </c>
      <c r="H113" s="86"/>
      <c r="I113" s="86"/>
      <c r="J113" s="86" t="s">
        <v>141</v>
      </c>
      <c r="K113" s="86"/>
      <c r="L113" s="86"/>
    </row>
    <row r="114" spans="1:12" ht="12.75" customHeight="1" hidden="1">
      <c r="A114" s="119"/>
      <c r="B114" s="119"/>
      <c r="C114" s="120"/>
      <c r="D114" s="86"/>
      <c r="E114" s="86"/>
      <c r="F114" s="86"/>
      <c r="G114" s="86" t="s">
        <v>140</v>
      </c>
      <c r="H114" s="86"/>
      <c r="I114" s="86"/>
      <c r="J114" s="86"/>
      <c r="K114" s="86"/>
      <c r="L114" s="86"/>
    </row>
    <row r="115" spans="1:12" ht="12.75" hidden="1">
      <c r="A115" s="86">
        <v>1</v>
      </c>
      <c r="B115" s="86"/>
      <c r="C115" s="109"/>
      <c r="D115" s="86">
        <v>2</v>
      </c>
      <c r="E115" s="86"/>
      <c r="F115" s="86"/>
      <c r="G115" s="86">
        <v>3</v>
      </c>
      <c r="H115" s="86"/>
      <c r="I115" s="86"/>
      <c r="J115" s="86">
        <v>4</v>
      </c>
      <c r="K115" s="86"/>
      <c r="L115" s="86"/>
    </row>
    <row r="116" spans="1:12" ht="27.75" customHeight="1" hidden="1">
      <c r="A116" s="112" t="s">
        <v>142</v>
      </c>
      <c r="B116" s="112"/>
      <c r="C116" s="103"/>
      <c r="D116" s="86" t="s">
        <v>57</v>
      </c>
      <c r="E116" s="86"/>
      <c r="F116" s="86"/>
      <c r="G116" s="78">
        <f>G117-G121</f>
        <v>0</v>
      </c>
      <c r="H116" s="78"/>
      <c r="I116" s="78"/>
      <c r="J116" s="86"/>
      <c r="K116" s="86"/>
      <c r="L116" s="86"/>
    </row>
    <row r="117" spans="1:12" ht="12.75" hidden="1">
      <c r="A117" s="112" t="s">
        <v>143</v>
      </c>
      <c r="B117" s="112"/>
      <c r="C117" s="103"/>
      <c r="D117" s="86" t="s">
        <v>57</v>
      </c>
      <c r="E117" s="86"/>
      <c r="F117" s="86"/>
      <c r="G117" s="100">
        <f>SUM(G119:I120)</f>
        <v>0</v>
      </c>
      <c r="H117" s="101"/>
      <c r="I117" s="102"/>
      <c r="J117" s="86"/>
      <c r="K117" s="86"/>
      <c r="L117" s="86"/>
    </row>
    <row r="118" spans="1:12" ht="12.75" hidden="1">
      <c r="A118" s="112" t="s">
        <v>42</v>
      </c>
      <c r="B118" s="112"/>
      <c r="C118" s="103"/>
      <c r="D118" s="86" t="s">
        <v>57</v>
      </c>
      <c r="E118" s="86"/>
      <c r="F118" s="86"/>
      <c r="G118" s="78" t="s">
        <v>57</v>
      </c>
      <c r="H118" s="78"/>
      <c r="I118" s="78"/>
      <c r="J118" s="86" t="s">
        <v>57</v>
      </c>
      <c r="K118" s="86"/>
      <c r="L118" s="86"/>
    </row>
    <row r="119" spans="1:12" ht="27" customHeight="1" hidden="1">
      <c r="A119" s="103" t="s">
        <v>64</v>
      </c>
      <c r="B119" s="104"/>
      <c r="C119" s="105"/>
      <c r="D119" s="109">
        <v>130</v>
      </c>
      <c r="E119" s="110"/>
      <c r="F119" s="111"/>
      <c r="G119" s="100"/>
      <c r="H119" s="101"/>
      <c r="I119" s="102"/>
      <c r="J119" s="103"/>
      <c r="K119" s="104"/>
      <c r="L119" s="105"/>
    </row>
    <row r="120" spans="1:12" ht="12.75" hidden="1">
      <c r="A120" s="112"/>
      <c r="B120" s="112"/>
      <c r="C120" s="103"/>
      <c r="D120" s="86"/>
      <c r="E120" s="86"/>
      <c r="F120" s="86"/>
      <c r="G120" s="100"/>
      <c r="H120" s="101"/>
      <c r="I120" s="102"/>
      <c r="J120" s="103"/>
      <c r="K120" s="104"/>
      <c r="L120" s="105"/>
    </row>
    <row r="121" spans="1:12" ht="12.75" hidden="1">
      <c r="A121" s="112" t="s">
        <v>144</v>
      </c>
      <c r="B121" s="112"/>
      <c r="C121" s="103"/>
      <c r="D121" s="86"/>
      <c r="E121" s="86"/>
      <c r="F121" s="86"/>
      <c r="G121" s="100">
        <f>G123+G124+G125+G126+G127+G128+G129+G130+G131+G132</f>
        <v>0</v>
      </c>
      <c r="H121" s="101"/>
      <c r="I121" s="102"/>
      <c r="J121" s="86"/>
      <c r="K121" s="86"/>
      <c r="L121" s="86"/>
    </row>
    <row r="122" spans="1:12" ht="12.75" hidden="1">
      <c r="A122" s="112" t="s">
        <v>42</v>
      </c>
      <c r="B122" s="112"/>
      <c r="C122" s="103"/>
      <c r="D122" s="86" t="s">
        <v>57</v>
      </c>
      <c r="E122" s="86"/>
      <c r="F122" s="86"/>
      <c r="G122" s="78" t="s">
        <v>57</v>
      </c>
      <c r="H122" s="78"/>
      <c r="I122" s="78"/>
      <c r="J122" s="86" t="s">
        <v>57</v>
      </c>
      <c r="K122" s="86"/>
      <c r="L122" s="86"/>
    </row>
    <row r="123" spans="1:12" ht="12.75" hidden="1">
      <c r="A123" s="103" t="s">
        <v>190</v>
      </c>
      <c r="B123" s="104"/>
      <c r="C123" s="105"/>
      <c r="D123" s="109">
        <v>211</v>
      </c>
      <c r="E123" s="110"/>
      <c r="F123" s="111"/>
      <c r="G123" s="100"/>
      <c r="H123" s="101"/>
      <c r="I123" s="102"/>
      <c r="J123" s="109"/>
      <c r="K123" s="110"/>
      <c r="L123" s="111"/>
    </row>
    <row r="124" spans="1:12" ht="12.75" hidden="1">
      <c r="A124" s="103" t="s">
        <v>191</v>
      </c>
      <c r="B124" s="104"/>
      <c r="C124" s="105"/>
      <c r="D124" s="109">
        <v>212</v>
      </c>
      <c r="E124" s="110"/>
      <c r="F124" s="111"/>
      <c r="G124" s="100"/>
      <c r="H124" s="101"/>
      <c r="I124" s="102"/>
      <c r="J124" s="109"/>
      <c r="K124" s="110"/>
      <c r="L124" s="111"/>
    </row>
    <row r="125" spans="1:12" ht="12.75" hidden="1">
      <c r="A125" s="103" t="s">
        <v>192</v>
      </c>
      <c r="B125" s="104"/>
      <c r="C125" s="105"/>
      <c r="D125" s="109">
        <v>213</v>
      </c>
      <c r="E125" s="110"/>
      <c r="F125" s="111"/>
      <c r="G125" s="100"/>
      <c r="H125" s="101"/>
      <c r="I125" s="102"/>
      <c r="J125" s="109"/>
      <c r="K125" s="110"/>
      <c r="L125" s="111"/>
    </row>
    <row r="126" spans="1:12" ht="12.75" hidden="1">
      <c r="A126" s="103" t="s">
        <v>193</v>
      </c>
      <c r="B126" s="104"/>
      <c r="C126" s="105"/>
      <c r="D126" s="109">
        <v>221</v>
      </c>
      <c r="E126" s="110"/>
      <c r="F126" s="111"/>
      <c r="G126" s="100"/>
      <c r="H126" s="101"/>
      <c r="I126" s="102"/>
      <c r="J126" s="109"/>
      <c r="K126" s="110"/>
      <c r="L126" s="111"/>
    </row>
    <row r="127" spans="1:12" ht="12.75" hidden="1">
      <c r="A127" s="103" t="s">
        <v>202</v>
      </c>
      <c r="B127" s="104"/>
      <c r="C127" s="105"/>
      <c r="D127" s="109">
        <v>222</v>
      </c>
      <c r="E127" s="110"/>
      <c r="F127" s="111"/>
      <c r="G127" s="100"/>
      <c r="H127" s="101"/>
      <c r="I127" s="102"/>
      <c r="J127" s="109"/>
      <c r="K127" s="110"/>
      <c r="L127" s="111"/>
    </row>
    <row r="128" spans="1:12" ht="12.75" hidden="1">
      <c r="A128" s="103" t="s">
        <v>198</v>
      </c>
      <c r="B128" s="104"/>
      <c r="C128" s="105"/>
      <c r="D128" s="109">
        <v>225</v>
      </c>
      <c r="E128" s="110"/>
      <c r="F128" s="111"/>
      <c r="G128" s="100"/>
      <c r="H128" s="101"/>
      <c r="I128" s="102"/>
      <c r="J128" s="109"/>
      <c r="K128" s="110"/>
      <c r="L128" s="111"/>
    </row>
    <row r="129" spans="1:12" ht="12.75" hidden="1">
      <c r="A129" s="103" t="s">
        <v>194</v>
      </c>
      <c r="B129" s="104"/>
      <c r="C129" s="105"/>
      <c r="D129" s="109">
        <v>226</v>
      </c>
      <c r="E129" s="110"/>
      <c r="F129" s="111"/>
      <c r="G129" s="100"/>
      <c r="H129" s="101"/>
      <c r="I129" s="102"/>
      <c r="J129" s="109"/>
      <c r="K129" s="110"/>
      <c r="L129" s="111"/>
    </row>
    <row r="130" spans="1:12" ht="14.25" customHeight="1" hidden="1">
      <c r="A130" s="103" t="s">
        <v>195</v>
      </c>
      <c r="B130" s="104"/>
      <c r="C130" s="105"/>
      <c r="D130" s="109">
        <v>262</v>
      </c>
      <c r="E130" s="110"/>
      <c r="F130" s="111"/>
      <c r="G130" s="100"/>
      <c r="H130" s="101"/>
      <c r="I130" s="102"/>
      <c r="J130" s="109"/>
      <c r="K130" s="110"/>
      <c r="L130" s="111"/>
    </row>
    <row r="131" spans="1:12" ht="12.75" hidden="1">
      <c r="A131" s="112" t="s">
        <v>196</v>
      </c>
      <c r="B131" s="112"/>
      <c r="C131" s="103"/>
      <c r="D131" s="86">
        <v>310</v>
      </c>
      <c r="E131" s="86"/>
      <c r="F131" s="86"/>
      <c r="G131" s="100"/>
      <c r="H131" s="101"/>
      <c r="I131" s="102"/>
      <c r="J131" s="86"/>
      <c r="K131" s="86"/>
      <c r="L131" s="86"/>
    </row>
    <row r="132" spans="1:12" ht="12.75" hidden="1">
      <c r="A132" s="112" t="s">
        <v>200</v>
      </c>
      <c r="B132" s="112"/>
      <c r="C132" s="103"/>
      <c r="D132" s="86">
        <v>340</v>
      </c>
      <c r="E132" s="86"/>
      <c r="F132" s="86"/>
      <c r="G132" s="100"/>
      <c r="H132" s="101"/>
      <c r="I132" s="102"/>
      <c r="J132" s="86"/>
      <c r="K132" s="86"/>
      <c r="L132" s="86"/>
    </row>
    <row r="133" spans="1:12" ht="26.25" customHeight="1" hidden="1">
      <c r="A133" s="112" t="s">
        <v>145</v>
      </c>
      <c r="B133" s="112"/>
      <c r="C133" s="103"/>
      <c r="D133" s="86" t="s">
        <v>57</v>
      </c>
      <c r="E133" s="86"/>
      <c r="F133" s="86"/>
      <c r="G133" s="116"/>
      <c r="H133" s="86"/>
      <c r="I133" s="86"/>
      <c r="J133" s="86"/>
      <c r="K133" s="86"/>
      <c r="L133" s="86"/>
    </row>
    <row r="134" spans="1:12" ht="12.75">
      <c r="A134" s="121" t="s">
        <v>146</v>
      </c>
      <c r="B134" s="121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</row>
    <row r="135" spans="1:12" ht="12.75">
      <c r="A135" s="121" t="s">
        <v>147</v>
      </c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</row>
  </sheetData>
  <sheetProtection/>
  <mergeCells count="419">
    <mergeCell ref="A74:C74"/>
    <mergeCell ref="D74:F74"/>
    <mergeCell ref="G74:I74"/>
    <mergeCell ref="J74:L74"/>
    <mergeCell ref="A102:C102"/>
    <mergeCell ref="D102:F102"/>
    <mergeCell ref="G102:I102"/>
    <mergeCell ref="J102:L102"/>
    <mergeCell ref="J98:L98"/>
    <mergeCell ref="G99:I99"/>
    <mergeCell ref="G66:I66"/>
    <mergeCell ref="J66:L66"/>
    <mergeCell ref="A100:C100"/>
    <mergeCell ref="D100:F100"/>
    <mergeCell ref="G100:I100"/>
    <mergeCell ref="J100:L100"/>
    <mergeCell ref="A98:C98"/>
    <mergeCell ref="D98:F98"/>
    <mergeCell ref="A99:C99"/>
    <mergeCell ref="D99:F99"/>
    <mergeCell ref="D41:F41"/>
    <mergeCell ref="G41:I41"/>
    <mergeCell ref="A41:C41"/>
    <mergeCell ref="J41:L41"/>
    <mergeCell ref="G42:I42"/>
    <mergeCell ref="J42:L42"/>
    <mergeCell ref="G40:I40"/>
    <mergeCell ref="A58:C58"/>
    <mergeCell ref="D58:F58"/>
    <mergeCell ref="G58:I58"/>
    <mergeCell ref="J58:L58"/>
    <mergeCell ref="A43:C43"/>
    <mergeCell ref="D43:F43"/>
    <mergeCell ref="J43:L43"/>
    <mergeCell ref="A42:C42"/>
    <mergeCell ref="D42:F42"/>
    <mergeCell ref="A105:C105"/>
    <mergeCell ref="D105:F105"/>
    <mergeCell ref="A104:C104"/>
    <mergeCell ref="D104:F104"/>
    <mergeCell ref="A103:C103"/>
    <mergeCell ref="G105:I105"/>
    <mergeCell ref="J105:L105"/>
    <mergeCell ref="G45:I45"/>
    <mergeCell ref="J45:L45"/>
    <mergeCell ref="G103:I103"/>
    <mergeCell ref="J103:L103"/>
    <mergeCell ref="G98:I98"/>
    <mergeCell ref="J104:L104"/>
    <mergeCell ref="G96:I96"/>
    <mergeCell ref="A81:L81"/>
    <mergeCell ref="D45:F45"/>
    <mergeCell ref="D127:F127"/>
    <mergeCell ref="G127:I127"/>
    <mergeCell ref="J127:L127"/>
    <mergeCell ref="A127:C127"/>
    <mergeCell ref="A44:C44"/>
    <mergeCell ref="D44:F44"/>
    <mergeCell ref="G44:I44"/>
    <mergeCell ref="J44:L44"/>
    <mergeCell ref="A45:C45"/>
    <mergeCell ref="D103:F103"/>
    <mergeCell ref="G37:I37"/>
    <mergeCell ref="J37:L37"/>
    <mergeCell ref="A40:C40"/>
    <mergeCell ref="D40:F40"/>
    <mergeCell ref="G43:I43"/>
    <mergeCell ref="J40:L40"/>
    <mergeCell ref="A39:C39"/>
    <mergeCell ref="D39:F39"/>
    <mergeCell ref="G39:I39"/>
    <mergeCell ref="J39:L39"/>
    <mergeCell ref="A36:C36"/>
    <mergeCell ref="D36:F36"/>
    <mergeCell ref="G36:I36"/>
    <mergeCell ref="J36:L36"/>
    <mergeCell ref="A38:C38"/>
    <mergeCell ref="D38:F38"/>
    <mergeCell ref="G38:I38"/>
    <mergeCell ref="J38:L38"/>
    <mergeCell ref="A37:C37"/>
    <mergeCell ref="D37:F37"/>
    <mergeCell ref="A34:C34"/>
    <mergeCell ref="D34:F34"/>
    <mergeCell ref="G34:I34"/>
    <mergeCell ref="J34:L34"/>
    <mergeCell ref="A35:C35"/>
    <mergeCell ref="D35:F35"/>
    <mergeCell ref="G35:I35"/>
    <mergeCell ref="J35:L35"/>
    <mergeCell ref="A32:C32"/>
    <mergeCell ref="D32:F32"/>
    <mergeCell ref="G32:I32"/>
    <mergeCell ref="J32:L32"/>
    <mergeCell ref="A33:C33"/>
    <mergeCell ref="D33:F33"/>
    <mergeCell ref="G33:I33"/>
    <mergeCell ref="J33:L33"/>
    <mergeCell ref="A29:C29"/>
    <mergeCell ref="D29:F29"/>
    <mergeCell ref="G29:I29"/>
    <mergeCell ref="J29:L29"/>
    <mergeCell ref="A31:C31"/>
    <mergeCell ref="D31:F31"/>
    <mergeCell ref="G31:I31"/>
    <mergeCell ref="J31:L31"/>
    <mergeCell ref="A30:C30"/>
    <mergeCell ref="D30:F30"/>
    <mergeCell ref="A27:C27"/>
    <mergeCell ref="D27:F27"/>
    <mergeCell ref="G27:I27"/>
    <mergeCell ref="J27:L27"/>
    <mergeCell ref="A28:C28"/>
    <mergeCell ref="D28:F28"/>
    <mergeCell ref="G28:I28"/>
    <mergeCell ref="J28:L28"/>
    <mergeCell ref="A25:C25"/>
    <mergeCell ref="D25:F25"/>
    <mergeCell ref="G25:I25"/>
    <mergeCell ref="J25:L25"/>
    <mergeCell ref="A26:C26"/>
    <mergeCell ref="D26:F26"/>
    <mergeCell ref="G26:I26"/>
    <mergeCell ref="J26:L26"/>
    <mergeCell ref="A24:C24"/>
    <mergeCell ref="D24:F24"/>
    <mergeCell ref="G24:I24"/>
    <mergeCell ref="J24:L24"/>
    <mergeCell ref="D22:F23"/>
    <mergeCell ref="G22:I22"/>
    <mergeCell ref="A18:L18"/>
    <mergeCell ref="A19:L19"/>
    <mergeCell ref="A20:L20"/>
    <mergeCell ref="A21:L21"/>
    <mergeCell ref="A22:C23"/>
    <mergeCell ref="J22:L23"/>
    <mergeCell ref="G23:I23"/>
    <mergeCell ref="J99:L99"/>
    <mergeCell ref="A97:C97"/>
    <mergeCell ref="D97:F97"/>
    <mergeCell ref="G97:I97"/>
    <mergeCell ref="J97:L97"/>
    <mergeCell ref="D96:F96"/>
    <mergeCell ref="A96:C96"/>
    <mergeCell ref="J96:L96"/>
    <mergeCell ref="A82:L82"/>
    <mergeCell ref="A83:L83"/>
    <mergeCell ref="A5:A9"/>
    <mergeCell ref="B5:B9"/>
    <mergeCell ref="C5:C9"/>
    <mergeCell ref="D5:L5"/>
    <mergeCell ref="D6:L6"/>
    <mergeCell ref="D7:F8"/>
    <mergeCell ref="G7:L7"/>
    <mergeCell ref="A46:L46"/>
    <mergeCell ref="A1:L1"/>
    <mergeCell ref="A2:L2"/>
    <mergeCell ref="A3:L3"/>
    <mergeCell ref="A17:L17"/>
    <mergeCell ref="G8:I8"/>
    <mergeCell ref="J8:L8"/>
    <mergeCell ref="J88:L88"/>
    <mergeCell ref="J89:L89"/>
    <mergeCell ref="J90:L90"/>
    <mergeCell ref="A84:L84"/>
    <mergeCell ref="J94:L94"/>
    <mergeCell ref="A90:C90"/>
    <mergeCell ref="G90:I90"/>
    <mergeCell ref="D85:F86"/>
    <mergeCell ref="D87:F87"/>
    <mergeCell ref="G94:I94"/>
    <mergeCell ref="J95:L95"/>
    <mergeCell ref="J93:L93"/>
    <mergeCell ref="G93:I93"/>
    <mergeCell ref="A95:C95"/>
    <mergeCell ref="A106:C106"/>
    <mergeCell ref="A108:C108"/>
    <mergeCell ref="A101:C101"/>
    <mergeCell ref="G95:I95"/>
    <mergeCell ref="G106:I106"/>
    <mergeCell ref="G104:I104"/>
    <mergeCell ref="D88:F88"/>
    <mergeCell ref="D89:F89"/>
    <mergeCell ref="D90:F90"/>
    <mergeCell ref="A93:C93"/>
    <mergeCell ref="D93:F93"/>
    <mergeCell ref="D95:F95"/>
    <mergeCell ref="A91:C91"/>
    <mergeCell ref="D91:F91"/>
    <mergeCell ref="A94:C94"/>
    <mergeCell ref="A89:C89"/>
    <mergeCell ref="A85:C86"/>
    <mergeCell ref="A87:C87"/>
    <mergeCell ref="A88:C88"/>
    <mergeCell ref="J108:L108"/>
    <mergeCell ref="A134:L134"/>
    <mergeCell ref="A135:L135"/>
    <mergeCell ref="G108:I108"/>
    <mergeCell ref="G85:I85"/>
    <mergeCell ref="G86:I86"/>
    <mergeCell ref="G87:I87"/>
    <mergeCell ref="J85:L86"/>
    <mergeCell ref="J87:L87"/>
    <mergeCell ref="J106:L106"/>
    <mergeCell ref="D101:F101"/>
    <mergeCell ref="G101:I101"/>
    <mergeCell ref="J101:L101"/>
    <mergeCell ref="D94:F94"/>
    <mergeCell ref="D106:F106"/>
    <mergeCell ref="G88:I88"/>
    <mergeCell ref="G89:I89"/>
    <mergeCell ref="A109:L109"/>
    <mergeCell ref="A110:L110"/>
    <mergeCell ref="A107:C107"/>
    <mergeCell ref="D107:F107"/>
    <mergeCell ref="G107:I107"/>
    <mergeCell ref="J107:L107"/>
    <mergeCell ref="D108:F108"/>
    <mergeCell ref="A111:L111"/>
    <mergeCell ref="A112:L112"/>
    <mergeCell ref="A113:C114"/>
    <mergeCell ref="D113:F114"/>
    <mergeCell ref="G113:I113"/>
    <mergeCell ref="J113:L114"/>
    <mergeCell ref="G114:I114"/>
    <mergeCell ref="A115:C115"/>
    <mergeCell ref="D115:F115"/>
    <mergeCell ref="G115:I115"/>
    <mergeCell ref="J115:L115"/>
    <mergeCell ref="A116:C116"/>
    <mergeCell ref="D116:F116"/>
    <mergeCell ref="G116:I116"/>
    <mergeCell ref="J116:L116"/>
    <mergeCell ref="A117:C117"/>
    <mergeCell ref="D117:F117"/>
    <mergeCell ref="G117:I117"/>
    <mergeCell ref="J117:L117"/>
    <mergeCell ref="A118:C118"/>
    <mergeCell ref="D118:F118"/>
    <mergeCell ref="G118:I118"/>
    <mergeCell ref="J118:L118"/>
    <mergeCell ref="A119:C119"/>
    <mergeCell ref="D119:F119"/>
    <mergeCell ref="G119:I119"/>
    <mergeCell ref="J119:L119"/>
    <mergeCell ref="A120:C120"/>
    <mergeCell ref="D120:F120"/>
    <mergeCell ref="G120:I120"/>
    <mergeCell ref="J120:L120"/>
    <mergeCell ref="A121:C121"/>
    <mergeCell ref="D121:F121"/>
    <mergeCell ref="G121:I121"/>
    <mergeCell ref="J121:L121"/>
    <mergeCell ref="A122:C122"/>
    <mergeCell ref="D122:F122"/>
    <mergeCell ref="G122:I122"/>
    <mergeCell ref="J122:L122"/>
    <mergeCell ref="A123:C123"/>
    <mergeCell ref="D123:F123"/>
    <mergeCell ref="G123:I123"/>
    <mergeCell ref="J123:L123"/>
    <mergeCell ref="A124:C124"/>
    <mergeCell ref="D124:F124"/>
    <mergeCell ref="G124:I124"/>
    <mergeCell ref="J124:L124"/>
    <mergeCell ref="A125:C125"/>
    <mergeCell ref="D125:F125"/>
    <mergeCell ref="G125:I125"/>
    <mergeCell ref="J125:L125"/>
    <mergeCell ref="A126:C126"/>
    <mergeCell ref="D126:F126"/>
    <mergeCell ref="G126:I126"/>
    <mergeCell ref="J126:L126"/>
    <mergeCell ref="A128:C128"/>
    <mergeCell ref="D128:F128"/>
    <mergeCell ref="G128:I128"/>
    <mergeCell ref="J128:L128"/>
    <mergeCell ref="A129:C129"/>
    <mergeCell ref="D129:F129"/>
    <mergeCell ref="G129:I129"/>
    <mergeCell ref="J129:L129"/>
    <mergeCell ref="G132:I132"/>
    <mergeCell ref="J132:L132"/>
    <mergeCell ref="A130:C130"/>
    <mergeCell ref="D130:F130"/>
    <mergeCell ref="G130:I130"/>
    <mergeCell ref="J130:L130"/>
    <mergeCell ref="A131:C131"/>
    <mergeCell ref="D131:F131"/>
    <mergeCell ref="G131:I131"/>
    <mergeCell ref="J131:L131"/>
    <mergeCell ref="G91:I91"/>
    <mergeCell ref="J91:L91"/>
    <mergeCell ref="A133:C133"/>
    <mergeCell ref="D133:F133"/>
    <mergeCell ref="G133:I133"/>
    <mergeCell ref="J133:L133"/>
    <mergeCell ref="A132:C132"/>
    <mergeCell ref="D132:F132"/>
    <mergeCell ref="A92:C92"/>
    <mergeCell ref="D92:F92"/>
    <mergeCell ref="A47:L47"/>
    <mergeCell ref="A48:L48"/>
    <mergeCell ref="A49:L49"/>
    <mergeCell ref="A50:C51"/>
    <mergeCell ref="D50:F51"/>
    <mergeCell ref="G50:I50"/>
    <mergeCell ref="J50:L51"/>
    <mergeCell ref="G51:I51"/>
    <mergeCell ref="D52:F52"/>
    <mergeCell ref="G52:I52"/>
    <mergeCell ref="J52:L52"/>
    <mergeCell ref="A53:C53"/>
    <mergeCell ref="D53:F53"/>
    <mergeCell ref="G53:I53"/>
    <mergeCell ref="J53:L53"/>
    <mergeCell ref="A52:C52"/>
    <mergeCell ref="A54:C54"/>
    <mergeCell ref="D54:F54"/>
    <mergeCell ref="G54:I54"/>
    <mergeCell ref="J54:L54"/>
    <mergeCell ref="A67:C67"/>
    <mergeCell ref="D67:F67"/>
    <mergeCell ref="G67:I67"/>
    <mergeCell ref="J67:L67"/>
    <mergeCell ref="D62:F62"/>
    <mergeCell ref="D63:F63"/>
    <mergeCell ref="A68:C68"/>
    <mergeCell ref="D68:F68"/>
    <mergeCell ref="G68:I68"/>
    <mergeCell ref="J68:L68"/>
    <mergeCell ref="A69:C69"/>
    <mergeCell ref="D69:F69"/>
    <mergeCell ref="G69:I69"/>
    <mergeCell ref="J69:L69"/>
    <mergeCell ref="D73:F73"/>
    <mergeCell ref="G73:I73"/>
    <mergeCell ref="J73:L73"/>
    <mergeCell ref="A70:C70"/>
    <mergeCell ref="D70:F70"/>
    <mergeCell ref="G70:I70"/>
    <mergeCell ref="J70:L70"/>
    <mergeCell ref="A71:C71"/>
    <mergeCell ref="J71:L71"/>
    <mergeCell ref="J72:L72"/>
    <mergeCell ref="A75:C75"/>
    <mergeCell ref="D75:F75"/>
    <mergeCell ref="G75:I75"/>
    <mergeCell ref="J75:L75"/>
    <mergeCell ref="G79:I79"/>
    <mergeCell ref="J79:L79"/>
    <mergeCell ref="A76:C76"/>
    <mergeCell ref="D76:F76"/>
    <mergeCell ref="G76:I76"/>
    <mergeCell ref="J76:L76"/>
    <mergeCell ref="G78:I78"/>
    <mergeCell ref="A80:C80"/>
    <mergeCell ref="D80:F80"/>
    <mergeCell ref="G80:I80"/>
    <mergeCell ref="J80:L80"/>
    <mergeCell ref="A78:C78"/>
    <mergeCell ref="D78:F78"/>
    <mergeCell ref="J78:L78"/>
    <mergeCell ref="D66:F66"/>
    <mergeCell ref="A73:C73"/>
    <mergeCell ref="A79:C79"/>
    <mergeCell ref="D79:F79"/>
    <mergeCell ref="G92:I92"/>
    <mergeCell ref="J92:L92"/>
    <mergeCell ref="A77:C77"/>
    <mergeCell ref="D77:F77"/>
    <mergeCell ref="G77:I77"/>
    <mergeCell ref="J77:L77"/>
    <mergeCell ref="J60:L60"/>
    <mergeCell ref="A72:C72"/>
    <mergeCell ref="D72:F72"/>
    <mergeCell ref="G72:I72"/>
    <mergeCell ref="A63:C63"/>
    <mergeCell ref="A64:C64"/>
    <mergeCell ref="A65:C65"/>
    <mergeCell ref="D71:F71"/>
    <mergeCell ref="G71:I71"/>
    <mergeCell ref="A66:C66"/>
    <mergeCell ref="G60:I60"/>
    <mergeCell ref="A55:C55"/>
    <mergeCell ref="A56:C56"/>
    <mergeCell ref="A57:C57"/>
    <mergeCell ref="A59:C59"/>
    <mergeCell ref="A60:C60"/>
    <mergeCell ref="J61:L61"/>
    <mergeCell ref="J62:L62"/>
    <mergeCell ref="J63:L63"/>
    <mergeCell ref="J64:L64"/>
    <mergeCell ref="J65:L65"/>
    <mergeCell ref="D55:F55"/>
    <mergeCell ref="D56:F56"/>
    <mergeCell ref="D57:F57"/>
    <mergeCell ref="D59:F59"/>
    <mergeCell ref="D60:F60"/>
    <mergeCell ref="A61:C61"/>
    <mergeCell ref="D64:F64"/>
    <mergeCell ref="D65:F65"/>
    <mergeCell ref="G63:I63"/>
    <mergeCell ref="G64:I64"/>
    <mergeCell ref="A62:C62"/>
    <mergeCell ref="G62:I62"/>
    <mergeCell ref="D61:F61"/>
    <mergeCell ref="G61:I61"/>
    <mergeCell ref="G65:I65"/>
    <mergeCell ref="G30:I30"/>
    <mergeCell ref="J30:L30"/>
    <mergeCell ref="G55:I55"/>
    <mergeCell ref="G56:I56"/>
    <mergeCell ref="G57:I57"/>
    <mergeCell ref="G59:I59"/>
    <mergeCell ref="J55:L55"/>
    <mergeCell ref="J56:L56"/>
    <mergeCell ref="J57:L57"/>
    <mergeCell ref="J59:L59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50" r:id="rId5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130" zoomScaleSheetLayoutView="130" zoomScalePageLayoutView="0" workbookViewId="0" topLeftCell="A1">
      <selection activeCell="G23" sqref="G23"/>
    </sheetView>
  </sheetViews>
  <sheetFormatPr defaultColWidth="9.00390625" defaultRowHeight="12.75"/>
  <cols>
    <col min="2" max="3" width="11.75390625" style="0" customWidth="1"/>
    <col min="4" max="4" width="13.375" style="0" customWidth="1"/>
  </cols>
  <sheetData>
    <row r="1" spans="1:10" ht="15.75">
      <c r="A1" s="69" t="s">
        <v>148</v>
      </c>
      <c r="B1" s="69"/>
      <c r="C1" s="69"/>
      <c r="D1" s="69"/>
      <c r="E1" s="69"/>
      <c r="F1" s="69"/>
      <c r="G1" s="69"/>
      <c r="H1" s="69"/>
      <c r="I1" s="69"/>
      <c r="J1" s="69"/>
    </row>
    <row r="2" ht="12.75">
      <c r="A2" s="4"/>
    </row>
    <row r="3" spans="1:10" ht="63.75">
      <c r="A3" s="16" t="s">
        <v>21</v>
      </c>
      <c r="B3" s="16" t="s">
        <v>149</v>
      </c>
      <c r="C3" s="16" t="s">
        <v>150</v>
      </c>
      <c r="D3" s="16" t="s">
        <v>151</v>
      </c>
      <c r="E3" s="16" t="s">
        <v>152</v>
      </c>
      <c r="F3" s="16" t="s">
        <v>153</v>
      </c>
      <c r="G3" s="16" t="s">
        <v>154</v>
      </c>
      <c r="H3" s="16" t="s">
        <v>155</v>
      </c>
      <c r="I3" s="16" t="s">
        <v>156</v>
      </c>
      <c r="J3" s="16" t="s">
        <v>157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.75">
      <c r="A10" s="69" t="s">
        <v>158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.75">
      <c r="A11" s="69" t="s">
        <v>159</v>
      </c>
      <c r="B11" s="69"/>
      <c r="C11" s="69"/>
      <c r="D11" s="69"/>
      <c r="E11" s="69"/>
      <c r="F11" s="69"/>
      <c r="G11" s="69"/>
      <c r="H11" s="69"/>
      <c r="I11" s="69"/>
      <c r="J11" s="69"/>
    </row>
    <row r="12" ht="15.75">
      <c r="A12" s="5"/>
    </row>
    <row r="13" spans="1:10" ht="63.75">
      <c r="A13" s="16" t="s">
        <v>21</v>
      </c>
      <c r="B13" s="16" t="s">
        <v>149</v>
      </c>
      <c r="C13" s="16" t="s">
        <v>150</v>
      </c>
      <c r="D13" s="16" t="s">
        <v>151</v>
      </c>
      <c r="E13" s="16" t="s">
        <v>152</v>
      </c>
      <c r="F13" s="16" t="s">
        <v>153</v>
      </c>
      <c r="G13" s="16" t="s">
        <v>154</v>
      </c>
      <c r="H13" s="16" t="s">
        <v>155</v>
      </c>
      <c r="I13" s="16" t="s">
        <v>156</v>
      </c>
      <c r="J13" s="16" t="s">
        <v>157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0.625" style="0" customWidth="1"/>
    <col min="2" max="2" width="35.25390625" style="0" customWidth="1"/>
    <col min="3" max="3" width="37.75390625" style="0" customWidth="1"/>
  </cols>
  <sheetData>
    <row r="1" spans="1:3" ht="15.75">
      <c r="A1" s="69" t="s">
        <v>160</v>
      </c>
      <c r="B1" s="69"/>
      <c r="C1" s="69"/>
    </row>
    <row r="2" spans="1:3" ht="15.75">
      <c r="A2" s="69" t="s">
        <v>161</v>
      </c>
      <c r="B2" s="69"/>
      <c r="C2" s="69"/>
    </row>
    <row r="3" spans="1:3" ht="15.75">
      <c r="A3" s="118">
        <f>стр3!A3</f>
        <v>43830</v>
      </c>
      <c r="B3" s="118"/>
      <c r="C3" s="118"/>
    </row>
    <row r="4" spans="1:3" ht="12.75">
      <c r="A4" s="71" t="s">
        <v>162</v>
      </c>
      <c r="B4" s="71"/>
      <c r="C4" s="71"/>
    </row>
    <row r="5" ht="12.75">
      <c r="A5" s="4"/>
    </row>
    <row r="6" spans="1:3" ht="12.75">
      <c r="A6" s="86" t="s">
        <v>22</v>
      </c>
      <c r="B6" s="86" t="s">
        <v>127</v>
      </c>
      <c r="C6" s="16" t="s">
        <v>163</v>
      </c>
    </row>
    <row r="7" spans="1:3" ht="25.5">
      <c r="A7" s="86"/>
      <c r="B7" s="86"/>
      <c r="C7" s="16" t="s">
        <v>164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56</v>
      </c>
      <c r="B9" s="16">
        <v>10</v>
      </c>
      <c r="C9" s="28"/>
    </row>
    <row r="10" spans="1:3" ht="12.75">
      <c r="A10" s="17" t="s">
        <v>124</v>
      </c>
      <c r="B10" s="16">
        <v>20</v>
      </c>
      <c r="C10" s="60"/>
    </row>
    <row r="11" spans="1:3" ht="12.75">
      <c r="A11" s="17" t="s">
        <v>165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166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.75">
      <c r="A17" s="69" t="s">
        <v>167</v>
      </c>
      <c r="B17" s="69"/>
      <c r="C17" s="69"/>
    </row>
    <row r="18" ht="12.75">
      <c r="A18" s="4"/>
    </row>
    <row r="19" spans="1:3" ht="12.75">
      <c r="A19" s="86" t="s">
        <v>22</v>
      </c>
      <c r="B19" s="86" t="s">
        <v>127</v>
      </c>
      <c r="C19" s="16" t="s">
        <v>163</v>
      </c>
    </row>
    <row r="20" spans="1:3" ht="25.5">
      <c r="A20" s="86"/>
      <c r="B20" s="86"/>
      <c r="C20" s="16" t="s">
        <v>164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168</v>
      </c>
      <c r="B22" s="16">
        <v>10</v>
      </c>
      <c r="C22" s="28">
        <v>0</v>
      </c>
    </row>
    <row r="23" ht="12.75">
      <c r="A23" s="4"/>
    </row>
    <row r="24" spans="1:3" ht="12.75">
      <c r="A24" s="4" t="s">
        <v>169</v>
      </c>
      <c r="B24" s="3" t="s">
        <v>177</v>
      </c>
      <c r="C24" s="36" t="s">
        <v>186</v>
      </c>
    </row>
    <row r="25" spans="1:3" ht="12.75">
      <c r="A25" s="4" t="s">
        <v>170</v>
      </c>
      <c r="B25" s="3" t="s">
        <v>171</v>
      </c>
      <c r="C25" s="3" t="s">
        <v>172</v>
      </c>
    </row>
    <row r="26" ht="12.75">
      <c r="A26" s="4"/>
    </row>
    <row r="27" spans="1:3" ht="12.75">
      <c r="A27" s="4" t="s">
        <v>173</v>
      </c>
      <c r="B27" s="3" t="s">
        <v>177</v>
      </c>
      <c r="C27" s="36" t="s">
        <v>187</v>
      </c>
    </row>
    <row r="28" spans="1:3" ht="12.75">
      <c r="A28" s="4" t="s">
        <v>170</v>
      </c>
      <c r="B28" s="3" t="s">
        <v>171</v>
      </c>
      <c r="C28" s="3" t="s">
        <v>172</v>
      </c>
    </row>
    <row r="29" ht="12.75">
      <c r="A29" s="56" t="s">
        <v>174</v>
      </c>
    </row>
    <row r="30" ht="12.75">
      <c r="A30" s="4" t="s">
        <v>175</v>
      </c>
    </row>
    <row r="31" spans="1:3" ht="12.75">
      <c r="A31" s="4" t="s">
        <v>178</v>
      </c>
      <c r="B31" s="3" t="s">
        <v>177</v>
      </c>
      <c r="C31" s="36" t="s">
        <v>187</v>
      </c>
    </row>
    <row r="32" spans="1:3" ht="12.75">
      <c r="A32" s="4" t="s">
        <v>176</v>
      </c>
      <c r="B32" s="3" t="s">
        <v>171</v>
      </c>
      <c r="C32" s="3" t="s">
        <v>172</v>
      </c>
    </row>
    <row r="33" ht="12.75">
      <c r="A33" t="s">
        <v>188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User</cp:lastModifiedBy>
  <cp:lastPrinted>2019-11-05T07:14:53Z</cp:lastPrinted>
  <dcterms:created xsi:type="dcterms:W3CDTF">2017-01-13T07:54:43Z</dcterms:created>
  <dcterms:modified xsi:type="dcterms:W3CDTF">2020-01-09T08:44:22Z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